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119842\Desktop\"/>
    </mc:Choice>
  </mc:AlternateContent>
  <bookViews>
    <workbookView xWindow="0" yWindow="0" windowWidth="21600" windowHeight="9516" tabRatio="765"/>
  </bookViews>
  <sheets>
    <sheet name="Survey Report for 20 Regions" sheetId="73" r:id="rId1"/>
    <sheet name="Survey Report for 60 Regions" sheetId="76" r:id="rId2"/>
    <sheet name="Example_Japanese" sheetId="74" r:id="rId3"/>
    <sheet name="Example_English" sheetId="78" r:id="rId4"/>
    <sheet name="Example_Chinese" sheetId="77" r:id="rId5"/>
    <sheet name="Sheet1" sheetId="64" r:id="rId6"/>
  </sheets>
  <externalReferences>
    <externalReference r:id="rId7"/>
    <externalReference r:id="rId8"/>
  </externalReferences>
  <definedNames>
    <definedName name="_12月" localSheetId="4">[1]出荷実績2!#REF!</definedName>
    <definedName name="_12月" localSheetId="3">[1]出荷実績2!#REF!</definedName>
    <definedName name="_12月" localSheetId="2">[1]出荷実績2!#REF!</definedName>
    <definedName name="_12月" localSheetId="0">[1]出荷実績2!#REF!</definedName>
    <definedName name="_12月" localSheetId="1">[1]出荷実績2!#REF!</definedName>
    <definedName name="_12月">[1]出荷実績2!#REF!</definedName>
    <definedName name="_5_はんだ接合" localSheetId="4">Example_Chinese!$Q$28:$Q$29</definedName>
    <definedName name="_5_はんだ接合" localSheetId="3">Example_English!$Q$28:$Q$29</definedName>
    <definedName name="_5_はんだ接合" localSheetId="2">Example_Japanese!$Q$28:$Q$29</definedName>
    <definedName name="_5_はんだ接合" localSheetId="0">'Survey Report for 20 Regions'!$Q$26:$Q$27</definedName>
    <definedName name="_5_はんだ接合" localSheetId="1">'Survey Report for 60 Regions'!$Q$26:$Q$27</definedName>
    <definedName name="_5_はんだ接合">#REF!</definedName>
    <definedName name="aaa" localSheetId="4">[1]出荷実績2!#REF!</definedName>
    <definedName name="aaa" localSheetId="3">[1]出荷実績2!#REF!</definedName>
    <definedName name="aaa" localSheetId="2">[1]出荷実績2!#REF!</definedName>
    <definedName name="aaa" localSheetId="0">[1]出荷実績2!#REF!</definedName>
    <definedName name="aaa" localSheetId="1">[1]出荷実績2!#REF!</definedName>
    <definedName name="aaa">[1]出荷実績2!#REF!</definedName>
    <definedName name="attached_agent" localSheetId="4">Example_Chinese!$O$28:$O$48</definedName>
    <definedName name="attached_agent" localSheetId="3">Example_English!$O$28:$O$48</definedName>
    <definedName name="attached_agent" localSheetId="2">Example_Japanese!$O$28:$O$48</definedName>
    <definedName name="attached_agent" localSheetId="1">'Survey Report for 60 Regions'!$O$26:$O$46</definedName>
    <definedName name="attached_agent">'Survey Report for 20 Regions'!$O$26:$O$46</definedName>
    <definedName name="base" localSheetId="4">Example_Chinese!$B$108:$B$109</definedName>
    <definedName name="base" localSheetId="3">Example_English!$B$108:$B$109</definedName>
    <definedName name="base" localSheetId="2">Example_Japanese!$B$108:$B$109</definedName>
    <definedName name="base" localSheetId="0">'Survey Report for 20 Regions'!$B$106:$B$107</definedName>
    <definedName name="base" localSheetId="1">'Survey Report for 60 Regions'!$B$150:$B$151</definedName>
    <definedName name="base">#REF!</definedName>
    <definedName name="base_material" localSheetId="4">Example_Chinese!$M$28:$M$78</definedName>
    <definedName name="base_material" localSheetId="3">Example_English!$M$28:$M$78</definedName>
    <definedName name="base_material" localSheetId="2">Example_Japanese!$M$28:$M$78</definedName>
    <definedName name="base_material" localSheetId="0">'Survey Report for 20 Regions'!$M$26:$M$76</definedName>
    <definedName name="base_material" localSheetId="1">'Survey Report for 60 Regions'!$M$26:$M$76</definedName>
    <definedName name="base_material">#REF!</definedName>
    <definedName name="base_materials" localSheetId="4">Example_Chinese!$B$108:$B$109</definedName>
    <definedName name="base_materials" localSheetId="3">Example_English!$B$108:$B$109</definedName>
    <definedName name="base_materials" localSheetId="2">Example_Japanese!$B$108:$B$109</definedName>
    <definedName name="base_materials" localSheetId="0">'Survey Report for 20 Regions'!$B$106:$B$107</definedName>
    <definedName name="base_materials" localSheetId="1">'Survey Report for 60 Regions'!$B$150:$B$151</definedName>
    <definedName name="base_materials">#REF!</definedName>
    <definedName name="basematerial" localSheetId="4">Example_Chinese!$B$104:$B$105</definedName>
    <definedName name="basematerial" localSheetId="3">Example_English!$B$104:$B$105</definedName>
    <definedName name="basematerial" localSheetId="2">Example_Japanese!$B$104:$B$105</definedName>
    <definedName name="basematerial" localSheetId="0">'Survey Report for 20 Regions'!$B$102:$B$103</definedName>
    <definedName name="basematerial" localSheetId="1">'Survey Report for 60 Regions'!$B$146:$B$147</definedName>
    <definedName name="basematerial">#REF!</definedName>
    <definedName name="CAT_4ELAP" localSheetId="4">[1]出荷実績2!#REF!</definedName>
    <definedName name="CAT_4ELAP" localSheetId="3">[1]出荷実績2!#REF!</definedName>
    <definedName name="CAT_4ELAP" localSheetId="2">[1]出荷実績2!#REF!</definedName>
    <definedName name="CAT_4ELAP" localSheetId="0">[1]出荷実績2!#REF!</definedName>
    <definedName name="CAT_4ELAP" localSheetId="1">[1]出荷実績2!#REF!</definedName>
    <definedName name="CAT_4ELAP">[1]出荷実績2!#REF!</definedName>
    <definedName name="CAT_4FDL" localSheetId="4">[1]出荷実績2!#REF!</definedName>
    <definedName name="CAT_4FDL" localSheetId="3">[1]出荷実績2!#REF!</definedName>
    <definedName name="CAT_4FDL" localSheetId="2">[1]出荷実績2!#REF!</definedName>
    <definedName name="CAT_4FDL" localSheetId="0">[1]出荷実績2!#REF!</definedName>
    <definedName name="CAT_4FDL" localSheetId="1">[1]出荷実績2!#REF!</definedName>
    <definedName name="CAT_4FDL">[1]出荷実績2!#REF!</definedName>
    <definedName name="CAT_4FDL_Mitel版" localSheetId="4">[1]出荷実績2!#REF!</definedName>
    <definedName name="CAT_4FDL_Mitel版" localSheetId="3">[1]出荷実績2!#REF!</definedName>
    <definedName name="CAT_4FDL_Mitel版" localSheetId="2">[1]出荷実績2!#REF!</definedName>
    <definedName name="CAT_4FDL_Mitel版" localSheetId="0">[1]出荷実績2!#REF!</definedName>
    <definedName name="CAT_4FDL_Mitel版" localSheetId="1">[1]出荷実績2!#REF!</definedName>
    <definedName name="CAT_4FDL_Mitel版">[1]出荷実績2!#REF!</definedName>
    <definedName name="chemical_conversion_treatment" localSheetId="4">Example_Chinese!$S$28:$S$39</definedName>
    <definedName name="chemical_conversion_treatment" localSheetId="3">Example_English!$S$28:$S$39</definedName>
    <definedName name="chemical_conversion_treatment" localSheetId="2">Example_Japanese!$S$28:$S$39</definedName>
    <definedName name="chemical_conversion_treatment" localSheetId="1">'Survey Report for 60 Regions'!$S$26:$S$37</definedName>
    <definedName name="chemical_conversion_treatment">'Survey Report for 20 Regions'!$S$26:$S$37</definedName>
    <definedName name="clad" localSheetId="4">Example_Chinese!$N$28:$N$51</definedName>
    <definedName name="clad" localSheetId="3">Example_English!$N$28:$N$51</definedName>
    <definedName name="clad" localSheetId="2">Example_Japanese!$N$28:$N$51</definedName>
    <definedName name="clad" localSheetId="0">'Survey Report for 20 Regions'!$N$26:$N$49</definedName>
    <definedName name="clad" localSheetId="1">'Survey Report for 60 Regions'!$N$26:$N$49</definedName>
    <definedName name="clad">#REF!</definedName>
    <definedName name="CVD_Chemical_Vapor_Deposition" localSheetId="4">Example_Chinese!$V$28:$V$33</definedName>
    <definedName name="CVD_Chemical_Vapor_Deposition" localSheetId="3">Example_English!$V$28:$V$33</definedName>
    <definedName name="CVD_Chemical_Vapor_Deposition" localSheetId="2">Example_Japanese!$V$28:$V$33</definedName>
    <definedName name="CVD_Chemical_Vapor_Deposition" localSheetId="1">'Survey Report for 60 Regions'!$V$26:$V$31</definedName>
    <definedName name="CVD_Chemical_Vapor_Deposition">'Survey Report for 20 Regions'!$V$26:$V$31</definedName>
    <definedName name="flame_spray_coating" localSheetId="4">Example_Chinese!$T$28:$T$38</definedName>
    <definedName name="flame_spray_coating" localSheetId="3">Example_English!$T$28:$T$38</definedName>
    <definedName name="flame_spray_coating" localSheetId="2">Example_Japanese!$T$28:$T$38</definedName>
    <definedName name="flame_spray_coating" localSheetId="1">'Survey Report for 60 Regions'!$T$26:$T$36</definedName>
    <definedName name="flame_spray_coating">'Survey Report for 20 Regions'!$T$26:$T$36</definedName>
    <definedName name="inner_preparations" localSheetId="4">Example_Chinese!$P$28:$P$30</definedName>
    <definedName name="inner_preparations" localSheetId="3">Example_English!$P$28:$P$30</definedName>
    <definedName name="inner_preparations" localSheetId="2">Example_Japanese!$P$28:$P$30</definedName>
    <definedName name="inner_preparations" localSheetId="1">'Survey Report for 60 Regions'!$P$26:$P$28</definedName>
    <definedName name="inner_preparations">'Survey Report for 20 Regions'!$P$26:$P$28</definedName>
    <definedName name="marking" localSheetId="4">Example_Chinese!$X$28:$X$33</definedName>
    <definedName name="marking" localSheetId="3">Example_English!$X$28:$X$33</definedName>
    <definedName name="marking" localSheetId="2">Example_Japanese!$X$28:$X$33</definedName>
    <definedName name="marking" localSheetId="1">'Survey Report for 60 Regions'!$X$26:$X$31</definedName>
    <definedName name="marking">'Survey Report for 20 Regions'!$X$26:$X$31</definedName>
    <definedName name="painting" localSheetId="4">Example_Chinese!$W$28:$W$33</definedName>
    <definedName name="painting" localSheetId="3">Example_English!$W$28:$W$33</definedName>
    <definedName name="painting" localSheetId="2">Example_Japanese!$W$28:$W$33</definedName>
    <definedName name="painting" localSheetId="0">'Survey Report for 20 Regions'!$W$26:$W$31</definedName>
    <definedName name="painting" localSheetId="1">'Survey Report for 60 Regions'!$W$26:$W$31</definedName>
    <definedName name="painting">#REF!</definedName>
    <definedName name="plating" localSheetId="4">Example_Chinese!$R$28:$R$40</definedName>
    <definedName name="plating" localSheetId="3">Example_English!$R$28:$R$40</definedName>
    <definedName name="plating" localSheetId="2">Example_Japanese!$R$28:$R$40</definedName>
    <definedName name="plating" localSheetId="1">'Survey Report for 60 Regions'!$R$26:$R$38</definedName>
    <definedName name="plating">'Survey Report for 20 Regions'!$R$26:$R$38</definedName>
    <definedName name="_xlnm.Print_Area" localSheetId="0">'Survey Report for 20 Regions'!$A$5:$T$102</definedName>
    <definedName name="_xlnm.Print_Area" localSheetId="1">'Survey Report for 60 Regions'!$A$5:$T$146</definedName>
    <definedName name="PVD_Physical_Vapor_Deposition" localSheetId="4">Example_Chinese!$U$28:$U$33</definedName>
    <definedName name="PVD_Physical_Vapor_Deposition" localSheetId="3">Example_English!$U$28:$U$33</definedName>
    <definedName name="PVD_Physical_Vapor_Deposition" localSheetId="2">Example_Japanese!$U$28:$U$33</definedName>
    <definedName name="PVD_Physical_Vapor_Deposition" localSheetId="1">'Survey Report for 60 Regions'!$U$26:$U$31</definedName>
    <definedName name="PVD_Physical_Vapor_Deposition">'Survey Report for 20 Regions'!$U$26:$U$31</definedName>
    <definedName name="Region" localSheetId="4">Example_Chinese!$B$107:$C$107</definedName>
    <definedName name="Region" localSheetId="3">Example_English!$B$107:$C$107</definedName>
    <definedName name="Region" localSheetId="2">Example_Japanese!$B$107:$C$107</definedName>
    <definedName name="Region" localSheetId="0">'Survey Report for 20 Regions'!$B$105:$C$105</definedName>
    <definedName name="Region" localSheetId="1">'Survey Report for 60 Regions'!$B$149:$C$149</definedName>
    <definedName name="Region">#REF!</definedName>
    <definedName name="solder_joint" localSheetId="4">Example_Chinese!$Q$28:$Q$29</definedName>
    <definedName name="solder_joint" localSheetId="3">Example_English!$Q$28:$Q$29</definedName>
    <definedName name="solder_joint" localSheetId="2">Example_Japanese!$Q$28:$Q$29</definedName>
    <definedName name="solder_joint" localSheetId="0">'Survey Report for 20 Regions'!$Q$26:$Q$27</definedName>
    <definedName name="solder_joint" localSheetId="1">'Survey Report for 60 Regions'!$Q$26:$Q$27</definedName>
    <definedName name="solder_joint">#REF!</definedName>
    <definedName name="sss" localSheetId="4">#REF!</definedName>
    <definedName name="sss" localSheetId="3">#REF!</definedName>
    <definedName name="sss" localSheetId="2">#REF!</definedName>
    <definedName name="sss" localSheetId="0">#REF!</definedName>
    <definedName name="sss" localSheetId="1">#REF!</definedName>
    <definedName name="sss">#REF!</definedName>
    <definedName name="あ" localSheetId="4">[1]出荷実績2!#REF!</definedName>
    <definedName name="あ" localSheetId="3">[1]出荷実績2!#REF!</definedName>
    <definedName name="あ" localSheetId="2">[1]出荷実績2!#REF!</definedName>
    <definedName name="あ" localSheetId="0">[1]出荷実績2!#REF!</definedName>
    <definedName name="あ" localSheetId="1">[1]出荷実績2!#REF!</definedName>
    <definedName name="あ">[1]出荷実績2!#REF!</definedName>
    <definedName name="ああ" localSheetId="4">#REF!</definedName>
    <definedName name="ああ" localSheetId="3">#REF!</definedName>
    <definedName name="ああ" localSheetId="2">#REF!</definedName>
    <definedName name="ああ" localSheetId="0">#REF!</definedName>
    <definedName name="ああ" localSheetId="1">#REF!</definedName>
    <definedName name="ああ">#REF!</definedName>
    <definedName name="はんだ接合" localSheetId="4">Example_Chinese!$Q$28:$Q$29</definedName>
    <definedName name="はんだ接合" localSheetId="3">Example_English!$Q$28:$Q$29</definedName>
    <definedName name="はんだ接合" localSheetId="2">Example_Japanese!$Q$28:$Q$29</definedName>
    <definedName name="はんだ接合" localSheetId="0">'Survey Report for 20 Regions'!$Q$26:$Q$27</definedName>
    <definedName name="はんだ接合" localSheetId="1">'Survey Report for 60 Regions'!$Q$26:$Q$27</definedName>
    <definedName name="はんだ接合">#REF!</definedName>
    <definedName name="化学物質名">[2]ﾄﾞﾛｯﾌﾟﾀﾞｳﾝ2!$A$2:$A$19</definedName>
    <definedName name="会社">[2]ﾄﾞﾛｯﾌﾟﾀﾞｳﾝ!$A$1:$D$1</definedName>
    <definedName name="単位" localSheetId="4">#REF!</definedName>
    <definedName name="単位" localSheetId="3">#REF!</definedName>
    <definedName name="単位" localSheetId="2">#REF!</definedName>
    <definedName name="単位" localSheetId="0">#REF!</definedName>
    <definedName name="単位" localSheetId="1">#REF!</definedName>
    <definedName name="単位">#REF!</definedName>
    <definedName name="内包剤_運転用調剤などに適用" localSheetId="4">Example_Chinese!$P$28:$P$30</definedName>
    <definedName name="内包剤_運転用調剤などに適用" localSheetId="3">Example_English!$P$28:$P$30</definedName>
    <definedName name="内包剤_運転用調剤などに適用" localSheetId="2">Example_Japanese!$P$28:$P$30</definedName>
    <definedName name="内包剤_運転用調剤などに適用" localSheetId="1">'Survey Report for 60 Regions'!$P$26:$P$28</definedName>
    <definedName name="内包剤_運転用調剤などに適用">'Survey Report for 20 Regions'!$P$26:$P$28</definedName>
    <definedName name="被覆" localSheetId="4">Example_Chinese!$N$28:$N$51</definedName>
    <definedName name="被覆" localSheetId="3">Example_English!$N$28:$N$51</definedName>
    <definedName name="被覆" localSheetId="2">Example_Japanese!$N$28:$N$51</definedName>
    <definedName name="被覆" localSheetId="0">'Survey Report for 20 Regions'!$N$26:$N$49</definedName>
    <definedName name="被覆" localSheetId="1">'Survey Report for 60 Regions'!$N$26:$N$49</definedName>
    <definedName name="被覆">#REF!</definedName>
    <definedName name="表面処理系_CVD処理" localSheetId="4">Example_Chinese!$V$28:$V$33</definedName>
    <definedName name="表面処理系_CVD処理" localSheetId="3">Example_English!$V$28:$V$33</definedName>
    <definedName name="表面処理系_CVD処理" localSheetId="2">Example_Japanese!$V$28:$V$33</definedName>
    <definedName name="表面処理系_CVD処理" localSheetId="1">'Survey Report for 60 Regions'!$V$26:$V$31</definedName>
    <definedName name="表面処理系_CVD処理">'Survey Report for 20 Regions'!$V$26:$V$31</definedName>
    <definedName name="表面処理系_PVC処理" localSheetId="4">Example_Chinese!$U$28:$U$33</definedName>
    <definedName name="表面処理系_PVC処理" localSheetId="3">Example_English!$U$28:$U$33</definedName>
    <definedName name="表面処理系_PVC処理" localSheetId="2">Example_Japanese!$U$28:$U$33</definedName>
    <definedName name="表面処理系_PVC処理" localSheetId="1">'Survey Report for 60 Regions'!$U$26:$U$31</definedName>
    <definedName name="表面処理系_PVC処理">'Survey Report for 20 Regions'!$U$26:$U$31</definedName>
    <definedName name="表面処理系_ＰＶＤ処理" localSheetId="4">Example_Chinese!$U$28:$U$33</definedName>
    <definedName name="表面処理系_ＰＶＤ処理" localSheetId="3">Example_English!$U$28:$U$33</definedName>
    <definedName name="表面処理系_ＰＶＤ処理" localSheetId="2">Example_Japanese!$U$28:$U$33</definedName>
    <definedName name="表面処理系_ＰＶＤ処理" localSheetId="1">'Survey Report for 60 Regions'!$U$26:$U$31</definedName>
    <definedName name="表面処理系_ＰＶＤ処理">'Survey Report for 20 Regions'!$U$26:$U$31</definedName>
    <definedName name="表面処理系_マーキング" localSheetId="4">Example_Chinese!$X$28:$X$32</definedName>
    <definedName name="表面処理系_マーキング" localSheetId="3">Example_English!$X$28:$X$32</definedName>
    <definedName name="表面処理系_マーキング" localSheetId="2">Example_Japanese!$X$28:$X$32</definedName>
    <definedName name="表面処理系_マーキング" localSheetId="1">'Survey Report for 60 Regions'!$X$26:$X$30</definedName>
    <definedName name="表面処理系_マーキング">'Survey Report for 20 Regions'!$X$26:$X$30</definedName>
    <definedName name="表面処理系_めっき" localSheetId="4">Example_Chinese!$R$28:$R$40</definedName>
    <definedName name="表面処理系_めっき" localSheetId="3">Example_English!$R$28:$R$40</definedName>
    <definedName name="表面処理系_めっき" localSheetId="2">Example_Japanese!$R$28:$R$40</definedName>
    <definedName name="表面処理系_めっき" localSheetId="1">'Survey Report for 60 Regions'!$R$26:$R$38</definedName>
    <definedName name="表面処理系_めっき">'Survey Report for 20 Regions'!$R$26:$R$38</definedName>
    <definedName name="表面処理系_化成処理" localSheetId="4">Example_Chinese!$S$28:$S$39</definedName>
    <definedName name="表面処理系_化成処理" localSheetId="3">Example_English!$S$28:$S$39</definedName>
    <definedName name="表面処理系_化成処理" localSheetId="2">Example_Japanese!$S$28:$S$39</definedName>
    <definedName name="表面処理系_化成処理" localSheetId="1">'Survey Report for 60 Regions'!$S$26:$S$37</definedName>
    <definedName name="表面処理系_化成処理">'Survey Report for 20 Regions'!$S$26:$S$37</definedName>
    <definedName name="表面処理系_塗装" localSheetId="4">Example_Chinese!$W$28:$W$32</definedName>
    <definedName name="表面処理系_塗装" localSheetId="3">Example_English!$W$28:$W$32</definedName>
    <definedName name="表面処理系_塗装" localSheetId="2">Example_Japanese!$W$28:$W$32</definedName>
    <definedName name="表面処理系_塗装" localSheetId="0">'Survey Report for 20 Regions'!$W$26:$W$30</definedName>
    <definedName name="表面処理系_塗装" localSheetId="1">'Survey Report for 60 Regions'!$W$26:$W$30</definedName>
    <definedName name="表面処理系_塗装">#REF!</definedName>
    <definedName name="表面処理系_溶射" localSheetId="4">Example_Chinese!$T$28:$T$38</definedName>
    <definedName name="表面処理系_溶射" localSheetId="3">Example_English!$T$28:$T$38</definedName>
    <definedName name="表面処理系_溶射" localSheetId="2">Example_Japanese!$T$28:$T$38</definedName>
    <definedName name="表面処理系_溶射" localSheetId="1">'Survey Report for 60 Regions'!$T$26:$T$36</definedName>
    <definedName name="表面処理系_溶射">'Survey Report for 20 Regions'!$T$26:$T$36</definedName>
    <definedName name="表面处理_CVD处理_化学的蒸镀" localSheetId="4">Example_Chinese!$V$28:$V$33</definedName>
    <definedName name="表面处理_CVD处理_化学的蒸镀" localSheetId="3">Example_English!$V$28:$V$33</definedName>
    <definedName name="表面处理_CVD处理_化学的蒸镀" localSheetId="2">Example_Japanese!$V$28:$V$33</definedName>
    <definedName name="表面处理_CVD处理_化学的蒸镀" localSheetId="1">'Survey Report for 60 Regions'!$V$26:$V$31</definedName>
    <definedName name="表面处理_CVD处理_化学的蒸镀">'Survey Report for 20 Regions'!$V$26:$V$31</definedName>
    <definedName name="表面处理_化学合成处理" localSheetId="4">Example_Chinese!$S$28:$S$39</definedName>
    <definedName name="表面处理_化学合成处理" localSheetId="3">Example_English!$S$28:$S$39</definedName>
    <definedName name="表面处理_化学合成处理" localSheetId="2">Example_Japanese!$S$28:$S$39</definedName>
    <definedName name="表面处理_化学合成处理" localSheetId="1">'Survey Report for 60 Regions'!$S$26:$S$37</definedName>
    <definedName name="表面处理_化学合成处理">'Survey Report for 20 Regions'!$S$26:$S$37</definedName>
    <definedName name="表面处理_喷镀" localSheetId="4">Example_Chinese!$T$28:$T$38</definedName>
    <definedName name="表面处理_喷镀" localSheetId="3">Example_English!$T$28:$T$38</definedName>
    <definedName name="表面处理_喷镀" localSheetId="2">Example_Japanese!$T$28:$T$38</definedName>
    <definedName name="表面处理_喷镀" localSheetId="1">'Survey Report for 60 Regions'!$T$26:$T$36</definedName>
    <definedName name="表面处理_喷镀">'Survey Report for 20 Regions'!$T$26:$T$36</definedName>
    <definedName name="表面处理_标印" localSheetId="4">Example_Chinese!$X$28:$X$32</definedName>
    <definedName name="表面处理_标印" localSheetId="3">Example_English!$X$28:$X$32</definedName>
    <definedName name="表面处理_标印" localSheetId="2">Example_Japanese!$X$28:$X$32</definedName>
    <definedName name="表面处理_标印" localSheetId="1">'Survey Report for 60 Regions'!$X$26:$X$30</definedName>
    <definedName name="表面处理_标印">'Survey Report for 20 Regions'!$X$26:$X$30</definedName>
    <definedName name="表面处理_涂装" localSheetId="4">Example_Chinese!$W$28:$W$32</definedName>
    <definedName name="表面处理_涂装" localSheetId="3">Example_English!$W$28:$W$32</definedName>
    <definedName name="表面处理_涂装" localSheetId="2">Example_Japanese!$W$28:$W$32</definedName>
    <definedName name="表面处理_涂装" localSheetId="0">'Survey Report for 20 Regions'!$W$26:$W$30</definedName>
    <definedName name="表面处理_涂装" localSheetId="1">'Survey Report for 60 Regions'!$W$26:$W$30</definedName>
    <definedName name="表面处理_涂装">#REF!</definedName>
    <definedName name="表面处理_电镀" localSheetId="4">Example_Chinese!$R$28:$R$40</definedName>
    <definedName name="表面处理_电镀" localSheetId="3">Example_English!$R$28:$R$40</definedName>
    <definedName name="表面处理_电镀" localSheetId="2">Example_Japanese!$R$28:$R$40</definedName>
    <definedName name="表面处理_电镀" localSheetId="1">'Survey Report for 60 Regions'!$R$26:$R$38</definedName>
    <definedName name="表面处理_电镀">'Survey Report for 20 Regions'!$R$26:$R$38</definedName>
    <definedName name="表面处理\PVD处理_物的蒸镀" localSheetId="4">Example_Chinese!$U$28:$U$33</definedName>
    <definedName name="表面处理\PVD处理_物的蒸镀" localSheetId="3">Example_English!$U$28:$U$33</definedName>
    <definedName name="表面处理\PVD处理_物的蒸镀" localSheetId="2">Example_Japanese!$U$28:$U$33</definedName>
    <definedName name="表面处理\PVD处理_物的蒸镀" localSheetId="1">'Survey Report for 60 Regions'!$U$26:$U$31</definedName>
    <definedName name="表面处理\PVD处理_物的蒸镀">'Survey Report for 20 Regions'!$U$26:$U$31</definedName>
    <definedName name="付着剤" localSheetId="4">Example_Chinese!$O$28:$O$48</definedName>
    <definedName name="付着剤" localSheetId="3">Example_English!$O$28:$O$48</definedName>
    <definedName name="付着剤" localSheetId="2">Example_Japanese!$O$28:$O$48</definedName>
    <definedName name="付着剤" localSheetId="1">'Survey Report for 60 Regions'!$O$26:$O$46</definedName>
    <definedName name="付着剤">'Survey Report for 20 Regions'!$O$26:$O$46</definedName>
    <definedName name="附着剤" localSheetId="4">Example_Chinese!$O$28:$O$48</definedName>
    <definedName name="附着剤" localSheetId="3">Example_English!$O$28:$O$48</definedName>
    <definedName name="附着剤" localSheetId="2">Example_Japanese!$O$28:$O$48</definedName>
    <definedName name="附着剤" localSheetId="1">'Survey Report for 60 Regions'!$O$26:$O$46</definedName>
    <definedName name="附着剤">'Survey Report for 20 Regions'!$O$26:$O$46</definedName>
    <definedName name="部位名" localSheetId="4">Example_Chinese!$B$103:$C$103</definedName>
    <definedName name="部位名" localSheetId="3">Example_English!$B$103:$C$103</definedName>
    <definedName name="部位名" localSheetId="2">Example_Japanese!$B$103:$C$103</definedName>
    <definedName name="部位名" localSheetId="0">'Survey Report for 20 Regions'!$B$101:$C$101</definedName>
    <definedName name="部位名" localSheetId="1">'Survey Report for 60 Regions'!$B$145:$C$145</definedName>
    <definedName name="部位名">#REF!</definedName>
    <definedName name="母材" localSheetId="4">Example_Chinese!$M$28:$M$78</definedName>
    <definedName name="母材" localSheetId="3">Example_English!$M$28:$M$78</definedName>
    <definedName name="母材" localSheetId="2">Example_Japanese!$M$28:$M$78</definedName>
    <definedName name="母材" localSheetId="0">'Survey Report for 20 Regions'!$M$26:$M$76</definedName>
    <definedName name="母材" localSheetId="1">'Survey Report for 60 Regions'!$M$26:$M$76</definedName>
    <definedName name="母材">#REF!</definedName>
    <definedName name="包含剂_适用于运转用配制品" localSheetId="4">Example_Chinese!$P$28:$P$30</definedName>
    <definedName name="包含剂_适用于运转用配制品" localSheetId="3">Example_English!$P$28:$P$30</definedName>
    <definedName name="包含剂_适用于运转用配制品" localSheetId="2">Example_Japanese!$P$28:$P$30</definedName>
    <definedName name="包含剂_适用于运转用配制品" localSheetId="1">'Survey Report for 60 Regions'!$P$26:$P$28</definedName>
    <definedName name="包含剂_适用于运转用配制品">'Survey Report for 20 Regions'!$P$26:$P$28</definedName>
    <definedName name="包覆" localSheetId="4">Example_Chinese!$N$28:$N$51</definedName>
    <definedName name="包覆" localSheetId="3">Example_English!$N$28:$N$51</definedName>
    <definedName name="包覆" localSheetId="2">Example_Japanese!$N$28:$N$51</definedName>
    <definedName name="包覆" localSheetId="0">'Survey Report for 20 Regions'!$N$26:$N$49</definedName>
    <definedName name="包覆" localSheetId="1">'Survey Report for 60 Regions'!$N$26:$N$49</definedName>
    <definedName name="包覆">#REF!</definedName>
    <definedName name="焊点" localSheetId="4">Example_Chinese!$Q$28:$Q$29</definedName>
    <definedName name="焊点" localSheetId="3">Example_English!$Q$28:$Q$29</definedName>
    <definedName name="焊点" localSheetId="2">Example_Japanese!$Q$28:$Q$29</definedName>
    <definedName name="焊点" localSheetId="0">'Survey Report for 20 Regions'!$Q$26:$Q$27</definedName>
    <definedName name="焊点" localSheetId="1">'Survey Report for 60 Regions'!$Q$26:$Q$27</definedName>
    <definedName name="焊点">#REF!</definedName>
  </definedNames>
  <calcPr calcId="162913"/>
</workbook>
</file>

<file path=xl/calcChain.xml><?xml version="1.0" encoding="utf-8"?>
<calcChain xmlns="http://schemas.openxmlformats.org/spreadsheetml/2006/main">
  <c r="H80" i="78" l="1"/>
  <c r="H78" i="76"/>
  <c r="H78" i="73"/>
  <c r="B102" i="76" l="1"/>
  <c r="T80" i="77" l="1"/>
  <c r="D26" i="76"/>
  <c r="D25" i="76"/>
  <c r="D25" i="73" l="1"/>
  <c r="T78" i="73"/>
  <c r="D26" i="73"/>
  <c r="M144" i="76" l="1"/>
  <c r="Q143" i="76"/>
  <c r="M143" i="76"/>
  <c r="Q142" i="76"/>
  <c r="M142" i="76"/>
  <c r="Q141" i="76"/>
  <c r="M141" i="76"/>
  <c r="Q140" i="76"/>
  <c r="M140" i="76"/>
  <c r="Q139" i="76"/>
  <c r="M139" i="76"/>
  <c r="Q138" i="76"/>
  <c r="M138" i="76"/>
  <c r="Q137" i="76"/>
  <c r="M137" i="76"/>
  <c r="Q136" i="76"/>
  <c r="M136" i="76"/>
  <c r="W136" i="76" s="1"/>
  <c r="W137" i="76" s="1"/>
  <c r="Q135" i="76"/>
  <c r="M135" i="76"/>
  <c r="W135" i="76" s="1"/>
  <c r="V134" i="76"/>
  <c r="V135" i="76" s="1"/>
  <c r="V136" i="76" s="1"/>
  <c r="V137" i="76" s="1"/>
  <c r="V138" i="76" s="1"/>
  <c r="V139" i="76" s="1"/>
  <c r="V140" i="76" s="1"/>
  <c r="V141" i="76" s="1"/>
  <c r="V142" i="76" s="1"/>
  <c r="V143" i="76" s="1"/>
  <c r="Q134" i="76"/>
  <c r="M134" i="76"/>
  <c r="W134" i="76" s="1"/>
  <c r="A134" i="76"/>
  <c r="A135" i="76" s="1"/>
  <c r="A136" i="76" s="1"/>
  <c r="A137" i="76" s="1"/>
  <c r="A138" i="76" s="1"/>
  <c r="A139" i="76" s="1"/>
  <c r="A140" i="76" s="1"/>
  <c r="A141" i="76" s="1"/>
  <c r="A142" i="76" s="1"/>
  <c r="A143" i="76" s="1"/>
  <c r="W138" i="76" l="1"/>
  <c r="W139" i="76"/>
  <c r="W140" i="76" s="1"/>
  <c r="W141" i="76" s="1"/>
  <c r="W142" i="76" s="1"/>
  <c r="W143" i="76" s="1"/>
  <c r="B7" i="74"/>
  <c r="D80" i="78" l="1"/>
  <c r="N80" i="77" l="1"/>
  <c r="P103" i="78" l="1"/>
  <c r="J103" i="78"/>
  <c r="P102" i="78"/>
  <c r="J102" i="78"/>
  <c r="Q101" i="78"/>
  <c r="M101" i="78"/>
  <c r="Q100" i="78"/>
  <c r="M100" i="78"/>
  <c r="Q99" i="78"/>
  <c r="M99" i="78"/>
  <c r="Q98" i="78"/>
  <c r="M98" i="78"/>
  <c r="Q97" i="78"/>
  <c r="M97" i="78"/>
  <c r="Q96" i="78"/>
  <c r="M96" i="78"/>
  <c r="Q95" i="78"/>
  <c r="M95" i="78"/>
  <c r="Q94" i="78"/>
  <c r="M94" i="78"/>
  <c r="Q93" i="78"/>
  <c r="M93" i="78"/>
  <c r="Q92" i="78"/>
  <c r="M92" i="78"/>
  <c r="Q91" i="78"/>
  <c r="M91" i="78"/>
  <c r="Q90" i="78"/>
  <c r="M90" i="78"/>
  <c r="Q89" i="78"/>
  <c r="M89" i="78"/>
  <c r="M86" i="78"/>
  <c r="V85" i="78"/>
  <c r="M85" i="78" s="1"/>
  <c r="W85" i="78" s="1"/>
  <c r="Q85" i="78" s="1"/>
  <c r="M84" i="78"/>
  <c r="M83" i="78"/>
  <c r="V82" i="78"/>
  <c r="M82" i="78" s="1"/>
  <c r="Q81" i="78"/>
  <c r="M81" i="78"/>
  <c r="L81" i="78"/>
  <c r="J81" i="78"/>
  <c r="C81" i="78"/>
  <c r="T80" i="78"/>
  <c r="S80" i="78"/>
  <c r="R80" i="78"/>
  <c r="Q80" i="78"/>
  <c r="P80" i="78"/>
  <c r="O80" i="78"/>
  <c r="N80" i="78"/>
  <c r="M80" i="78"/>
  <c r="J80" i="78"/>
  <c r="I80" i="78"/>
  <c r="E80" i="78"/>
  <c r="C80" i="78"/>
  <c r="B80" i="78"/>
  <c r="M78" i="78"/>
  <c r="M77" i="78"/>
  <c r="M76" i="78"/>
  <c r="M75" i="78"/>
  <c r="M74" i="78"/>
  <c r="M73" i="78"/>
  <c r="M72" i="78"/>
  <c r="B72" i="78"/>
  <c r="M71" i="78"/>
  <c r="B71" i="78"/>
  <c r="M70" i="78"/>
  <c r="B70" i="78"/>
  <c r="M69" i="78"/>
  <c r="B69" i="78"/>
  <c r="M68" i="78"/>
  <c r="B68" i="78"/>
  <c r="M67" i="78"/>
  <c r="B67" i="78"/>
  <c r="M66" i="78"/>
  <c r="B66" i="78"/>
  <c r="M65" i="78"/>
  <c r="B65" i="78"/>
  <c r="M64" i="78"/>
  <c r="B64" i="78"/>
  <c r="M63" i="78"/>
  <c r="B63" i="78"/>
  <c r="M62" i="78"/>
  <c r="B62" i="78"/>
  <c r="M61" i="78"/>
  <c r="B61" i="78"/>
  <c r="M60" i="78"/>
  <c r="B60" i="78"/>
  <c r="M59" i="78"/>
  <c r="B59" i="78"/>
  <c r="M58" i="78"/>
  <c r="B58" i="78"/>
  <c r="M57" i="78"/>
  <c r="B57" i="78"/>
  <c r="M56" i="78"/>
  <c r="B56" i="78"/>
  <c r="M55" i="78"/>
  <c r="B55" i="78"/>
  <c r="M54" i="78"/>
  <c r="B54" i="78"/>
  <c r="M53" i="78"/>
  <c r="B53" i="78"/>
  <c r="M52" i="78"/>
  <c r="B52" i="78"/>
  <c r="N51" i="78"/>
  <c r="M51" i="78"/>
  <c r="B51" i="78"/>
  <c r="N50" i="78"/>
  <c r="M50" i="78"/>
  <c r="B50" i="78"/>
  <c r="N49" i="78"/>
  <c r="M49" i="78"/>
  <c r="B49" i="78"/>
  <c r="O48" i="78"/>
  <c r="N48" i="78"/>
  <c r="M48" i="78"/>
  <c r="B48" i="78"/>
  <c r="O47" i="78"/>
  <c r="N47" i="78"/>
  <c r="M47" i="78"/>
  <c r="B47" i="78"/>
  <c r="O46" i="78"/>
  <c r="N46" i="78"/>
  <c r="M46" i="78"/>
  <c r="B46" i="78"/>
  <c r="O45" i="78"/>
  <c r="N45" i="78"/>
  <c r="M45" i="78"/>
  <c r="B45" i="78"/>
  <c r="O44" i="78"/>
  <c r="N44" i="78"/>
  <c r="M44" i="78"/>
  <c r="B44" i="78"/>
  <c r="O43" i="78"/>
  <c r="N43" i="78"/>
  <c r="M43" i="78"/>
  <c r="B43" i="78"/>
  <c r="O42" i="78"/>
  <c r="N42" i="78"/>
  <c r="M42" i="78"/>
  <c r="B42" i="78"/>
  <c r="O41" i="78"/>
  <c r="N41" i="78"/>
  <c r="M41" i="78"/>
  <c r="B41" i="78"/>
  <c r="R40" i="78"/>
  <c r="O40" i="78"/>
  <c r="N40" i="78"/>
  <c r="M40" i="78"/>
  <c r="B40" i="78"/>
  <c r="S39" i="78"/>
  <c r="R39" i="78"/>
  <c r="O39" i="78"/>
  <c r="N39" i="78"/>
  <c r="M39" i="78"/>
  <c r="B39" i="78"/>
  <c r="T38" i="78"/>
  <c r="S38" i="78"/>
  <c r="R38" i="78"/>
  <c r="O38" i="78"/>
  <c r="N38" i="78"/>
  <c r="M38" i="78"/>
  <c r="B38" i="78"/>
  <c r="T37" i="78"/>
  <c r="S37" i="78"/>
  <c r="R37" i="78"/>
  <c r="O37" i="78"/>
  <c r="N37" i="78"/>
  <c r="M37" i="78"/>
  <c r="B37" i="78"/>
  <c r="T36" i="78"/>
  <c r="S36" i="78"/>
  <c r="R36" i="78"/>
  <c r="O36" i="78"/>
  <c r="N36" i="78"/>
  <c r="M36" i="78"/>
  <c r="B36" i="78"/>
  <c r="T35" i="78"/>
  <c r="S35" i="78"/>
  <c r="R35" i="78"/>
  <c r="O35" i="78"/>
  <c r="N35" i="78"/>
  <c r="M35" i="78"/>
  <c r="B35" i="78"/>
  <c r="T34" i="78"/>
  <c r="S34" i="78"/>
  <c r="R34" i="78"/>
  <c r="O34" i="78"/>
  <c r="N34" i="78"/>
  <c r="M34" i="78"/>
  <c r="B34" i="78"/>
  <c r="V33" i="78"/>
  <c r="U33" i="78"/>
  <c r="T33" i="78"/>
  <c r="S33" i="78"/>
  <c r="R33" i="78"/>
  <c r="O33" i="78"/>
  <c r="N33" i="78"/>
  <c r="M33" i="78"/>
  <c r="B33" i="78"/>
  <c r="X32" i="78"/>
  <c r="W32" i="78"/>
  <c r="V32" i="78"/>
  <c r="U32" i="78"/>
  <c r="T32" i="78"/>
  <c r="S32" i="78"/>
  <c r="R32" i="78"/>
  <c r="O32" i="78"/>
  <c r="N32" i="78"/>
  <c r="M32" i="78"/>
  <c r="B32" i="78"/>
  <c r="X31" i="78"/>
  <c r="W31" i="78"/>
  <c r="V31" i="78"/>
  <c r="U31" i="78"/>
  <c r="T31" i="78"/>
  <c r="S31" i="78"/>
  <c r="R31" i="78"/>
  <c r="O31" i="78"/>
  <c r="N31" i="78"/>
  <c r="M31" i="78"/>
  <c r="B31" i="78"/>
  <c r="X30" i="78"/>
  <c r="W30" i="78"/>
  <c r="V30" i="78"/>
  <c r="U30" i="78"/>
  <c r="T30" i="78"/>
  <c r="S30" i="78"/>
  <c r="R30" i="78"/>
  <c r="P30" i="78"/>
  <c r="O30" i="78"/>
  <c r="N30" i="78"/>
  <c r="M30" i="78"/>
  <c r="B30" i="78"/>
  <c r="X29" i="78"/>
  <c r="W29" i="78"/>
  <c r="V29" i="78"/>
  <c r="U29" i="78"/>
  <c r="T29" i="78"/>
  <c r="S29" i="78"/>
  <c r="R29" i="78"/>
  <c r="Q29" i="78"/>
  <c r="P29" i="78"/>
  <c r="O29" i="78"/>
  <c r="N29" i="78"/>
  <c r="M29" i="78"/>
  <c r="B29" i="78"/>
  <c r="X28" i="78"/>
  <c r="W28" i="78"/>
  <c r="V28" i="78"/>
  <c r="U28" i="78"/>
  <c r="T28" i="78"/>
  <c r="S28" i="78"/>
  <c r="R28" i="78"/>
  <c r="Q28" i="78"/>
  <c r="P28" i="78"/>
  <c r="O28" i="78"/>
  <c r="N28" i="78"/>
  <c r="M28" i="78"/>
  <c r="B28" i="78"/>
  <c r="X27" i="78"/>
  <c r="W27" i="78"/>
  <c r="V27" i="78"/>
  <c r="U27" i="78"/>
  <c r="T27" i="78"/>
  <c r="S27" i="78"/>
  <c r="R27" i="78"/>
  <c r="Q27" i="78"/>
  <c r="P27" i="78"/>
  <c r="O27" i="78"/>
  <c r="N27" i="78"/>
  <c r="M27" i="78"/>
  <c r="B27" i="78"/>
  <c r="B24" i="78"/>
  <c r="I22" i="78"/>
  <c r="B22" i="78"/>
  <c r="I21" i="78"/>
  <c r="B21" i="78"/>
  <c r="I20" i="78"/>
  <c r="B20" i="78"/>
  <c r="B19" i="78"/>
  <c r="N17" i="78"/>
  <c r="I17" i="78"/>
  <c r="B17" i="78"/>
  <c r="I16" i="78"/>
  <c r="B16" i="78"/>
  <c r="I15" i="78"/>
  <c r="B15" i="78"/>
  <c r="I14" i="78"/>
  <c r="B14" i="78"/>
  <c r="B13" i="78"/>
  <c r="O10" i="78"/>
  <c r="O8" i="78"/>
  <c r="B7" i="78"/>
  <c r="P103" i="77"/>
  <c r="J103" i="77"/>
  <c r="P102" i="77"/>
  <c r="J102" i="77"/>
  <c r="Q101" i="77"/>
  <c r="M101" i="77"/>
  <c r="Q100" i="77"/>
  <c r="M100" i="77"/>
  <c r="Q99" i="77"/>
  <c r="M99" i="77"/>
  <c r="Q98" i="77"/>
  <c r="M98" i="77"/>
  <c r="Q97" i="77"/>
  <c r="M97" i="77"/>
  <c r="Q96" i="77"/>
  <c r="M96" i="77"/>
  <c r="Q95" i="77"/>
  <c r="M95" i="77"/>
  <c r="Q94" i="77"/>
  <c r="M94" i="77"/>
  <c r="Q93" i="77"/>
  <c r="M93" i="77"/>
  <c r="Q92" i="77"/>
  <c r="M92" i="77"/>
  <c r="Q91" i="77"/>
  <c r="M91" i="77"/>
  <c r="Q90" i="77"/>
  <c r="M90" i="77"/>
  <c r="Q89" i="77"/>
  <c r="M89" i="77"/>
  <c r="M86" i="77"/>
  <c r="V85" i="77"/>
  <c r="M85" i="77" s="1"/>
  <c r="W85" i="77" s="1"/>
  <c r="Q85" i="77" s="1"/>
  <c r="M84" i="77"/>
  <c r="M83" i="77"/>
  <c r="V82" i="77"/>
  <c r="M82" i="77" s="1"/>
  <c r="Q81" i="77"/>
  <c r="M81" i="77"/>
  <c r="L81" i="77"/>
  <c r="J81" i="77"/>
  <c r="C81" i="77"/>
  <c r="S80" i="77"/>
  <c r="R80" i="77"/>
  <c r="Q80" i="77"/>
  <c r="P80" i="77"/>
  <c r="O80" i="77"/>
  <c r="M80" i="77"/>
  <c r="J80" i="77"/>
  <c r="I80" i="77"/>
  <c r="H80" i="77"/>
  <c r="E80" i="77"/>
  <c r="D80" i="77"/>
  <c r="C80" i="77"/>
  <c r="B80" i="77"/>
  <c r="M78" i="77"/>
  <c r="M77" i="77"/>
  <c r="M76" i="77"/>
  <c r="M75" i="77"/>
  <c r="M74" i="77"/>
  <c r="M73" i="77"/>
  <c r="M72" i="77"/>
  <c r="B72" i="77"/>
  <c r="M71" i="77"/>
  <c r="B71" i="77"/>
  <c r="M70" i="77"/>
  <c r="B70" i="77"/>
  <c r="M69" i="77"/>
  <c r="B69" i="77"/>
  <c r="M68" i="77"/>
  <c r="B68" i="77"/>
  <c r="M67" i="77"/>
  <c r="B67" i="77"/>
  <c r="M66" i="77"/>
  <c r="B66" i="77"/>
  <c r="M65" i="77"/>
  <c r="B65" i="77"/>
  <c r="M64" i="77"/>
  <c r="B64" i="77"/>
  <c r="M63" i="77"/>
  <c r="B63" i="77"/>
  <c r="M62" i="77"/>
  <c r="B62" i="77"/>
  <c r="M61" i="77"/>
  <c r="B61" i="77"/>
  <c r="M60" i="77"/>
  <c r="B60" i="77"/>
  <c r="M59" i="77"/>
  <c r="B59" i="77"/>
  <c r="M58" i="77"/>
  <c r="B58" i="77"/>
  <c r="M57" i="77"/>
  <c r="B57" i="77"/>
  <c r="M56" i="77"/>
  <c r="B56" i="77"/>
  <c r="M55" i="77"/>
  <c r="B55" i="77"/>
  <c r="M54" i="77"/>
  <c r="B54" i="77"/>
  <c r="M53" i="77"/>
  <c r="B53" i="77"/>
  <c r="M52" i="77"/>
  <c r="B52" i="77"/>
  <c r="N51" i="77"/>
  <c r="M51" i="77"/>
  <c r="B51" i="77"/>
  <c r="N50" i="77"/>
  <c r="M50" i="77"/>
  <c r="B50" i="77"/>
  <c r="N49" i="77"/>
  <c r="M49" i="77"/>
  <c r="B49" i="77"/>
  <c r="O48" i="77"/>
  <c r="N48" i="77"/>
  <c r="M48" i="77"/>
  <c r="B48" i="77"/>
  <c r="O47" i="77"/>
  <c r="N47" i="77"/>
  <c r="M47" i="77"/>
  <c r="B47" i="77"/>
  <c r="O46" i="77"/>
  <c r="N46" i="77"/>
  <c r="M46" i="77"/>
  <c r="B46" i="77"/>
  <c r="O45" i="77"/>
  <c r="N45" i="77"/>
  <c r="M45" i="77"/>
  <c r="B45" i="77"/>
  <c r="O44" i="77"/>
  <c r="N44" i="77"/>
  <c r="M44" i="77"/>
  <c r="B44" i="77"/>
  <c r="O43" i="77"/>
  <c r="N43" i="77"/>
  <c r="M43" i="77"/>
  <c r="B43" i="77"/>
  <c r="O42" i="77"/>
  <c r="N42" i="77"/>
  <c r="M42" i="77"/>
  <c r="B42" i="77"/>
  <c r="O41" i="77"/>
  <c r="N41" i="77"/>
  <c r="M41" i="77"/>
  <c r="B41" i="77"/>
  <c r="R40" i="77"/>
  <c r="O40" i="77"/>
  <c r="N40" i="77"/>
  <c r="M40" i="77"/>
  <c r="B40" i="77"/>
  <c r="S39" i="77"/>
  <c r="R39" i="77"/>
  <c r="O39" i="77"/>
  <c r="N39" i="77"/>
  <c r="M39" i="77"/>
  <c r="B39" i="77"/>
  <c r="T38" i="77"/>
  <c r="S38" i="77"/>
  <c r="R38" i="77"/>
  <c r="O38" i="77"/>
  <c r="N38" i="77"/>
  <c r="M38" i="77"/>
  <c r="B38" i="77"/>
  <c r="T37" i="77"/>
  <c r="S37" i="77"/>
  <c r="R37" i="77"/>
  <c r="O37" i="77"/>
  <c r="N37" i="77"/>
  <c r="M37" i="77"/>
  <c r="B37" i="77"/>
  <c r="T36" i="77"/>
  <c r="S36" i="77"/>
  <c r="R36" i="77"/>
  <c r="O36" i="77"/>
  <c r="N36" i="77"/>
  <c r="M36" i="77"/>
  <c r="B36" i="77"/>
  <c r="T35" i="77"/>
  <c r="S35" i="77"/>
  <c r="R35" i="77"/>
  <c r="O35" i="77"/>
  <c r="N35" i="77"/>
  <c r="M35" i="77"/>
  <c r="B35" i="77"/>
  <c r="T34" i="77"/>
  <c r="S34" i="77"/>
  <c r="R34" i="77"/>
  <c r="O34" i="77"/>
  <c r="N34" i="77"/>
  <c r="M34" i="77"/>
  <c r="B34" i="77"/>
  <c r="V33" i="77"/>
  <c r="U33" i="77"/>
  <c r="T33" i="77"/>
  <c r="S33" i="77"/>
  <c r="R33" i="77"/>
  <c r="O33" i="77"/>
  <c r="N33" i="77"/>
  <c r="M33" i="77"/>
  <c r="B33" i="77"/>
  <c r="X32" i="77"/>
  <c r="W32" i="77"/>
  <c r="V32" i="77"/>
  <c r="U32" i="77"/>
  <c r="T32" i="77"/>
  <c r="S32" i="77"/>
  <c r="R32" i="77"/>
  <c r="O32" i="77"/>
  <c r="N32" i="77"/>
  <c r="M32" i="77"/>
  <c r="B32" i="77"/>
  <c r="X31" i="77"/>
  <c r="W31" i="77"/>
  <c r="V31" i="77"/>
  <c r="U31" i="77"/>
  <c r="T31" i="77"/>
  <c r="S31" i="77"/>
  <c r="R31" i="77"/>
  <c r="O31" i="77"/>
  <c r="N31" i="77"/>
  <c r="M31" i="77"/>
  <c r="B31" i="77"/>
  <c r="X30" i="77"/>
  <c r="W30" i="77"/>
  <c r="V30" i="77"/>
  <c r="U30" i="77"/>
  <c r="T30" i="77"/>
  <c r="S30" i="77"/>
  <c r="R30" i="77"/>
  <c r="P30" i="77"/>
  <c r="O30" i="77"/>
  <c r="N30" i="77"/>
  <c r="M30" i="77"/>
  <c r="B30" i="77"/>
  <c r="X29" i="77"/>
  <c r="W29" i="77"/>
  <c r="V29" i="77"/>
  <c r="U29" i="77"/>
  <c r="T29" i="77"/>
  <c r="S29" i="77"/>
  <c r="R29" i="77"/>
  <c r="Q29" i="77"/>
  <c r="P29" i="77"/>
  <c r="O29" i="77"/>
  <c r="N29" i="77"/>
  <c r="M29" i="77"/>
  <c r="B29" i="77"/>
  <c r="X28" i="77"/>
  <c r="W28" i="77"/>
  <c r="V28" i="77"/>
  <c r="U28" i="77"/>
  <c r="T28" i="77"/>
  <c r="S28" i="77"/>
  <c r="R28" i="77"/>
  <c r="Q28" i="77"/>
  <c r="P28" i="77"/>
  <c r="O28" i="77"/>
  <c r="N28" i="77"/>
  <c r="M28" i="77"/>
  <c r="B28" i="77"/>
  <c r="X27" i="77"/>
  <c r="W27" i="77"/>
  <c r="V27" i="77"/>
  <c r="U27" i="77"/>
  <c r="T27" i="77"/>
  <c r="S27" i="77"/>
  <c r="R27" i="77"/>
  <c r="Q27" i="77"/>
  <c r="P27" i="77"/>
  <c r="O27" i="77"/>
  <c r="N27" i="77"/>
  <c r="M27" i="77"/>
  <c r="B27" i="77"/>
  <c r="B24" i="77"/>
  <c r="I22" i="77"/>
  <c r="B22" i="77"/>
  <c r="I21" i="77"/>
  <c r="B21" i="77"/>
  <c r="I20" i="77"/>
  <c r="B20" i="77"/>
  <c r="B19" i="77"/>
  <c r="N17" i="77"/>
  <c r="I17" i="77"/>
  <c r="B17" i="77"/>
  <c r="I16" i="77"/>
  <c r="B16" i="77"/>
  <c r="I15" i="77"/>
  <c r="B15" i="77"/>
  <c r="I14" i="77"/>
  <c r="B14" i="77"/>
  <c r="B13" i="77"/>
  <c r="O10" i="77"/>
  <c r="O8" i="77"/>
  <c r="B7" i="77"/>
  <c r="V83" i="78" l="1"/>
  <c r="V84" i="78" s="1"/>
  <c r="W82" i="78"/>
  <c r="Q82" i="78" s="1"/>
  <c r="W86" i="78"/>
  <c r="Q86" i="78" s="1"/>
  <c r="V86" i="78"/>
  <c r="V87" i="78" s="1"/>
  <c r="W82" i="77"/>
  <c r="Q82" i="77" s="1"/>
  <c r="W86" i="77"/>
  <c r="Q86" i="77" s="1"/>
  <c r="V83" i="77"/>
  <c r="V84" i="77" s="1"/>
  <c r="V86" i="77"/>
  <c r="V87" i="77" s="1"/>
  <c r="Q133" i="76"/>
  <c r="M133" i="76"/>
  <c r="Q132" i="76"/>
  <c r="M132" i="76"/>
  <c r="Q131" i="76"/>
  <c r="M131" i="76"/>
  <c r="Q130" i="76"/>
  <c r="M130" i="76"/>
  <c r="Q129" i="76"/>
  <c r="M129" i="76"/>
  <c r="Q128" i="76"/>
  <c r="M128" i="76"/>
  <c r="Q127" i="76"/>
  <c r="M127" i="76"/>
  <c r="Q126" i="76"/>
  <c r="M126" i="76"/>
  <c r="Q125" i="76"/>
  <c r="M125" i="76"/>
  <c r="Q124" i="76"/>
  <c r="M124" i="76"/>
  <c r="A81" i="76"/>
  <c r="A82" i="76" s="1"/>
  <c r="A83" i="76" s="1"/>
  <c r="A84" i="76" s="1"/>
  <c r="A85" i="76" s="1"/>
  <c r="A86" i="76" s="1"/>
  <c r="A87" i="76" s="1"/>
  <c r="A88" i="76" s="1"/>
  <c r="A89" i="76" s="1"/>
  <c r="A90" i="76" s="1"/>
  <c r="A91" i="76" s="1"/>
  <c r="A92" i="76" s="1"/>
  <c r="A93" i="76" s="1"/>
  <c r="A94" i="76" s="1"/>
  <c r="A95" i="76" s="1"/>
  <c r="A96" i="76" s="1"/>
  <c r="A97" i="76" s="1"/>
  <c r="A98" i="76" s="1"/>
  <c r="A99" i="76" s="1"/>
  <c r="A104" i="76" s="1"/>
  <c r="A105" i="76" s="1"/>
  <c r="A106" i="76" s="1"/>
  <c r="A107" i="76" s="1"/>
  <c r="A108" i="76" s="1"/>
  <c r="A109" i="76" s="1"/>
  <c r="A110" i="76" s="1"/>
  <c r="A111" i="76" s="1"/>
  <c r="A112" i="76" s="1"/>
  <c r="A113" i="76" s="1"/>
  <c r="A114" i="76" s="1"/>
  <c r="A115" i="76" s="1"/>
  <c r="A116" i="76" s="1"/>
  <c r="A117" i="76" s="1"/>
  <c r="A118" i="76" s="1"/>
  <c r="A119" i="76" s="1"/>
  <c r="A120" i="76" s="1"/>
  <c r="A121" i="76" s="1"/>
  <c r="A122" i="76" s="1"/>
  <c r="A123" i="76" s="1"/>
  <c r="A124" i="76" s="1"/>
  <c r="A125" i="76" s="1"/>
  <c r="A126" i="76" s="1"/>
  <c r="A127" i="76" s="1"/>
  <c r="A128" i="76" s="1"/>
  <c r="A129" i="76" s="1"/>
  <c r="A130" i="76" s="1"/>
  <c r="A131" i="76" s="1"/>
  <c r="A132" i="76" s="1"/>
  <c r="A133" i="76" s="1"/>
  <c r="A82" i="73"/>
  <c r="A83" i="73" s="1"/>
  <c r="A84" i="73" s="1"/>
  <c r="A85" i="73" s="1"/>
  <c r="A86" i="73" s="1"/>
  <c r="A87" i="73" s="1"/>
  <c r="A88" i="73" s="1"/>
  <c r="A89" i="73" s="1"/>
  <c r="A90" i="73" s="1"/>
  <c r="A91" i="73" s="1"/>
  <c r="A92" i="73" s="1"/>
  <c r="A93" i="73" s="1"/>
  <c r="A94" i="73" s="1"/>
  <c r="A95" i="73" s="1"/>
  <c r="A96" i="73" s="1"/>
  <c r="A97" i="73" s="1"/>
  <c r="A98" i="73" s="1"/>
  <c r="A99" i="73" s="1"/>
  <c r="A81" i="73"/>
  <c r="W83" i="77" l="1"/>
  <c r="M87" i="78"/>
  <c r="V88" i="78"/>
  <c r="W83" i="78"/>
  <c r="M87" i="77"/>
  <c r="V88" i="77"/>
  <c r="Q80" i="73"/>
  <c r="Q81" i="73"/>
  <c r="Q82" i="73"/>
  <c r="Q83" i="73"/>
  <c r="Q84" i="73"/>
  <c r="Q85" i="73"/>
  <c r="Q86" i="73"/>
  <c r="Q83" i="77" l="1"/>
  <c r="W84" i="77"/>
  <c r="Q84" i="77" s="1"/>
  <c r="Q83" i="78"/>
  <c r="W84" i="78"/>
  <c r="Q84" i="78" s="1"/>
  <c r="M88" i="78"/>
  <c r="W88" i="78" s="1"/>
  <c r="V89" i="78"/>
  <c r="V90" i="78" s="1"/>
  <c r="V91" i="78" s="1"/>
  <c r="V92" i="78" s="1"/>
  <c r="V93" i="78" s="1"/>
  <c r="V94" i="78" s="1"/>
  <c r="V95" i="78" s="1"/>
  <c r="V96" i="78" s="1"/>
  <c r="V97" i="78" s="1"/>
  <c r="V98" i="78" s="1"/>
  <c r="V99" i="78" s="1"/>
  <c r="V100" i="78" s="1"/>
  <c r="V101" i="78" s="1"/>
  <c r="W87" i="78"/>
  <c r="Q87" i="78" s="1"/>
  <c r="M88" i="77"/>
  <c r="W88" i="77" s="1"/>
  <c r="V89" i="77"/>
  <c r="V90" i="77" s="1"/>
  <c r="V91" i="77" s="1"/>
  <c r="V92" i="77" s="1"/>
  <c r="V93" i="77" s="1"/>
  <c r="V94" i="77" s="1"/>
  <c r="V95" i="77" s="1"/>
  <c r="V96" i="77" s="1"/>
  <c r="V97" i="77" s="1"/>
  <c r="V98" i="77" s="1"/>
  <c r="V99" i="77" s="1"/>
  <c r="V100" i="77" s="1"/>
  <c r="V101" i="77" s="1"/>
  <c r="W87" i="77"/>
  <c r="Q87" i="77" s="1"/>
  <c r="Q123" i="76"/>
  <c r="M123" i="76"/>
  <c r="Q122" i="76"/>
  <c r="M122" i="76"/>
  <c r="Q121" i="76"/>
  <c r="Q120" i="76"/>
  <c r="M120" i="76"/>
  <c r="Q119" i="76"/>
  <c r="M119" i="76"/>
  <c r="Q118" i="76"/>
  <c r="Q117" i="76"/>
  <c r="Q116" i="76"/>
  <c r="Q115" i="76"/>
  <c r="M115" i="76"/>
  <c r="Q114" i="76"/>
  <c r="Q113" i="76"/>
  <c r="M113" i="76"/>
  <c r="Q112" i="76"/>
  <c r="M112" i="76"/>
  <c r="Q111" i="76"/>
  <c r="Q110" i="76"/>
  <c r="Q109" i="76"/>
  <c r="Q108" i="76"/>
  <c r="M108" i="76"/>
  <c r="Q107" i="76"/>
  <c r="Q106" i="76"/>
  <c r="M106" i="76"/>
  <c r="Q105" i="76"/>
  <c r="M105" i="76"/>
  <c r="Q104" i="76"/>
  <c r="P145" i="76"/>
  <c r="J145" i="76"/>
  <c r="P144" i="76"/>
  <c r="J144" i="76"/>
  <c r="Q99" i="76"/>
  <c r="M99" i="76"/>
  <c r="Q98" i="76"/>
  <c r="M98" i="76"/>
  <c r="Q97" i="76"/>
  <c r="Q96" i="76"/>
  <c r="M96" i="76"/>
  <c r="Q95" i="76"/>
  <c r="M95" i="76"/>
  <c r="Q94" i="76"/>
  <c r="Q93" i="76"/>
  <c r="Q92" i="76"/>
  <c r="Q91" i="76"/>
  <c r="M91" i="76"/>
  <c r="Q90" i="76"/>
  <c r="Q89" i="76"/>
  <c r="M89" i="76"/>
  <c r="Q88" i="76"/>
  <c r="M88" i="76"/>
  <c r="Q87" i="76"/>
  <c r="M84" i="76"/>
  <c r="M82" i="76"/>
  <c r="M81" i="76"/>
  <c r="V80" i="76"/>
  <c r="M80" i="76" s="1"/>
  <c r="Q79" i="76"/>
  <c r="M79" i="76"/>
  <c r="L79" i="76"/>
  <c r="J79" i="76"/>
  <c r="C79" i="76"/>
  <c r="T78" i="76"/>
  <c r="S78" i="76"/>
  <c r="R78" i="76"/>
  <c r="Q78" i="76"/>
  <c r="P78" i="76"/>
  <c r="O78" i="76"/>
  <c r="N78" i="76"/>
  <c r="M78" i="76"/>
  <c r="J78" i="76"/>
  <c r="I78" i="76"/>
  <c r="E78" i="76"/>
  <c r="D78" i="76"/>
  <c r="C78" i="76"/>
  <c r="B78" i="76"/>
  <c r="M76" i="76"/>
  <c r="M75" i="76"/>
  <c r="M74" i="76"/>
  <c r="M73" i="76"/>
  <c r="M72" i="76"/>
  <c r="M71" i="76"/>
  <c r="M70" i="76"/>
  <c r="B70" i="76"/>
  <c r="M69" i="76"/>
  <c r="B69" i="76"/>
  <c r="M68" i="76"/>
  <c r="B68" i="76"/>
  <c r="M67" i="76"/>
  <c r="B67" i="76"/>
  <c r="M66" i="76"/>
  <c r="B66" i="76"/>
  <c r="M65" i="76"/>
  <c r="B65" i="76"/>
  <c r="M64" i="76"/>
  <c r="B64" i="76"/>
  <c r="M63" i="76"/>
  <c r="B63" i="76"/>
  <c r="M62" i="76"/>
  <c r="B62" i="76"/>
  <c r="M61" i="76"/>
  <c r="B61" i="76"/>
  <c r="M60" i="76"/>
  <c r="B60" i="76"/>
  <c r="M59" i="76"/>
  <c r="B59" i="76"/>
  <c r="M58" i="76"/>
  <c r="B58" i="76"/>
  <c r="M57" i="76"/>
  <c r="B57" i="76"/>
  <c r="M56" i="76"/>
  <c r="B56" i="76"/>
  <c r="M55" i="76"/>
  <c r="B55" i="76"/>
  <c r="M54" i="76"/>
  <c r="B54" i="76"/>
  <c r="M53" i="76"/>
  <c r="B53" i="76"/>
  <c r="M52" i="76"/>
  <c r="B52" i="76"/>
  <c r="M51" i="76"/>
  <c r="B51" i="76"/>
  <c r="M50" i="76"/>
  <c r="B50" i="76"/>
  <c r="N49" i="76"/>
  <c r="M49" i="76"/>
  <c r="B49" i="76"/>
  <c r="N48" i="76"/>
  <c r="M48" i="76"/>
  <c r="B48" i="76"/>
  <c r="N47" i="76"/>
  <c r="M47" i="76"/>
  <c r="B47" i="76"/>
  <c r="O46" i="76"/>
  <c r="N46" i="76"/>
  <c r="M46" i="76"/>
  <c r="B46" i="76"/>
  <c r="O45" i="76"/>
  <c r="N45" i="76"/>
  <c r="M45" i="76"/>
  <c r="B45" i="76"/>
  <c r="O44" i="76"/>
  <c r="N44" i="76"/>
  <c r="M44" i="76"/>
  <c r="B44" i="76"/>
  <c r="O43" i="76"/>
  <c r="N43" i="76"/>
  <c r="M43" i="76"/>
  <c r="B43" i="76"/>
  <c r="O42" i="76"/>
  <c r="N42" i="76"/>
  <c r="M42" i="76"/>
  <c r="B42" i="76"/>
  <c r="O41" i="76"/>
  <c r="N41" i="76"/>
  <c r="M41" i="76"/>
  <c r="B41" i="76"/>
  <c r="O40" i="76"/>
  <c r="N40" i="76"/>
  <c r="M40" i="76"/>
  <c r="B40" i="76"/>
  <c r="O39" i="76"/>
  <c r="N39" i="76"/>
  <c r="M39" i="76"/>
  <c r="B39" i="76"/>
  <c r="R38" i="76"/>
  <c r="O38" i="76"/>
  <c r="N38" i="76"/>
  <c r="M38" i="76"/>
  <c r="B38" i="76"/>
  <c r="S37" i="76"/>
  <c r="R37" i="76"/>
  <c r="O37" i="76"/>
  <c r="N37" i="76"/>
  <c r="M37" i="76"/>
  <c r="B37" i="76"/>
  <c r="T36" i="76"/>
  <c r="S36" i="76"/>
  <c r="R36" i="76"/>
  <c r="O36" i="76"/>
  <c r="N36" i="76"/>
  <c r="M36" i="76"/>
  <c r="B36" i="76"/>
  <c r="T35" i="76"/>
  <c r="S35" i="76"/>
  <c r="R35" i="76"/>
  <c r="O35" i="76"/>
  <c r="N35" i="76"/>
  <c r="M35" i="76"/>
  <c r="B35" i="76"/>
  <c r="T34" i="76"/>
  <c r="S34" i="76"/>
  <c r="R34" i="76"/>
  <c r="O34" i="76"/>
  <c r="N34" i="76"/>
  <c r="M34" i="76"/>
  <c r="B34" i="76"/>
  <c r="T33" i="76"/>
  <c r="S33" i="76"/>
  <c r="R33" i="76"/>
  <c r="O33" i="76"/>
  <c r="N33" i="76"/>
  <c r="M33" i="76"/>
  <c r="B33" i="76"/>
  <c r="T32" i="76"/>
  <c r="S32" i="76"/>
  <c r="R32" i="76"/>
  <c r="O32" i="76"/>
  <c r="N32" i="76"/>
  <c r="M32" i="76"/>
  <c r="B32" i="76"/>
  <c r="V31" i="76"/>
  <c r="U31" i="76"/>
  <c r="T31" i="76"/>
  <c r="S31" i="76"/>
  <c r="R31" i="76"/>
  <c r="O31" i="76"/>
  <c r="N31" i="76"/>
  <c r="M31" i="76"/>
  <c r="B31" i="76"/>
  <c r="X30" i="76"/>
  <c r="W30" i="76"/>
  <c r="V30" i="76"/>
  <c r="U30" i="76"/>
  <c r="T30" i="76"/>
  <c r="S30" i="76"/>
  <c r="R30" i="76"/>
  <c r="O30" i="76"/>
  <c r="N30" i="76"/>
  <c r="M30" i="76"/>
  <c r="B30" i="76"/>
  <c r="X29" i="76"/>
  <c r="W29" i="76"/>
  <c r="V29" i="76"/>
  <c r="U29" i="76"/>
  <c r="T29" i="76"/>
  <c r="S29" i="76"/>
  <c r="R29" i="76"/>
  <c r="O29" i="76"/>
  <c r="N29" i="76"/>
  <c r="M29" i="76"/>
  <c r="B29" i="76"/>
  <c r="X28" i="76"/>
  <c r="W28" i="76"/>
  <c r="V28" i="76"/>
  <c r="U28" i="76"/>
  <c r="T28" i="76"/>
  <c r="S28" i="76"/>
  <c r="R28" i="76"/>
  <c r="P28" i="76"/>
  <c r="O28" i="76"/>
  <c r="N28" i="76"/>
  <c r="M28" i="76"/>
  <c r="B28" i="76"/>
  <c r="X27" i="76"/>
  <c r="W27" i="76"/>
  <c r="V27" i="76"/>
  <c r="U27" i="76"/>
  <c r="T27" i="76"/>
  <c r="S27" i="76"/>
  <c r="R27" i="76"/>
  <c r="Q27" i="76"/>
  <c r="P27" i="76"/>
  <c r="O27" i="76"/>
  <c r="N27" i="76"/>
  <c r="M27" i="76"/>
  <c r="B27" i="76"/>
  <c r="X26" i="76"/>
  <c r="W26" i="76"/>
  <c r="V26" i="76"/>
  <c r="U26" i="76"/>
  <c r="T26" i="76"/>
  <c r="S26" i="76"/>
  <c r="R26" i="76"/>
  <c r="Q26" i="76"/>
  <c r="P26" i="76"/>
  <c r="O26" i="76"/>
  <c r="N26" i="76"/>
  <c r="M26" i="76"/>
  <c r="B26" i="76"/>
  <c r="X25" i="76"/>
  <c r="W25" i="76"/>
  <c r="V25" i="76"/>
  <c r="U25" i="76"/>
  <c r="T25" i="76"/>
  <c r="S25" i="76"/>
  <c r="R25" i="76"/>
  <c r="Q25" i="76"/>
  <c r="P25" i="76"/>
  <c r="O25" i="76"/>
  <c r="N25" i="76"/>
  <c r="M25" i="76"/>
  <c r="B25" i="76"/>
  <c r="B22" i="76"/>
  <c r="I20" i="76"/>
  <c r="B20" i="76"/>
  <c r="I19" i="76"/>
  <c r="B19" i="76"/>
  <c r="I18" i="76"/>
  <c r="B18" i="76"/>
  <c r="B17" i="76"/>
  <c r="N15" i="76"/>
  <c r="I15" i="76"/>
  <c r="B15" i="76"/>
  <c r="I14" i="76"/>
  <c r="B14" i="76"/>
  <c r="I13" i="76"/>
  <c r="B13" i="76"/>
  <c r="I12" i="76"/>
  <c r="B12" i="76"/>
  <c r="B11" i="76"/>
  <c r="O8" i="76"/>
  <c r="O6" i="76"/>
  <c r="B5" i="76"/>
  <c r="M102" i="78" l="1"/>
  <c r="Q88" i="78"/>
  <c r="Q102" i="78" s="1"/>
  <c r="W89" i="78"/>
  <c r="W90" i="78" s="1"/>
  <c r="W91" i="78" s="1"/>
  <c r="W92" i="78" s="1"/>
  <c r="W93" i="78" s="1"/>
  <c r="W94" i="78" s="1"/>
  <c r="W95" i="78" s="1"/>
  <c r="W96" i="78" s="1"/>
  <c r="W97" i="78" s="1"/>
  <c r="W98" i="78" s="1"/>
  <c r="W99" i="78" s="1"/>
  <c r="W100" i="78" s="1"/>
  <c r="W101" i="78" s="1"/>
  <c r="Q88" i="77"/>
  <c r="Q102" i="77" s="1"/>
  <c r="W89" i="77"/>
  <c r="W90" i="77" s="1"/>
  <c r="W91" i="77" s="1"/>
  <c r="W92" i="77" s="1"/>
  <c r="W93" i="77" s="1"/>
  <c r="W94" i="77" s="1"/>
  <c r="W95" i="77" s="1"/>
  <c r="W96" i="77" s="1"/>
  <c r="W97" i="77" s="1"/>
  <c r="W98" i="77" s="1"/>
  <c r="W99" i="77" s="1"/>
  <c r="W100" i="77" s="1"/>
  <c r="W101" i="77" s="1"/>
  <c r="M102" i="77"/>
  <c r="M107" i="76"/>
  <c r="M109" i="76"/>
  <c r="M111" i="76"/>
  <c r="M117" i="76"/>
  <c r="M121" i="76"/>
  <c r="M104" i="76"/>
  <c r="M110" i="76"/>
  <c r="M114" i="76"/>
  <c r="M116" i="76"/>
  <c r="M118" i="76"/>
  <c r="W80" i="76"/>
  <c r="Q80" i="76" s="1"/>
  <c r="V81" i="76"/>
  <c r="V82" i="76" s="1"/>
  <c r="V83" i="76" s="1"/>
  <c r="M83" i="76" s="1"/>
  <c r="V84" i="76" l="1"/>
  <c r="V85" i="76" s="1"/>
  <c r="V86" i="76" s="1"/>
  <c r="W81" i="76"/>
  <c r="M85" i="76"/>
  <c r="P103" i="74"/>
  <c r="J103" i="74"/>
  <c r="P102" i="74"/>
  <c r="J102" i="74"/>
  <c r="Q101" i="74"/>
  <c r="M101" i="74"/>
  <c r="Q100" i="74"/>
  <c r="M100" i="74"/>
  <c r="Q99" i="74"/>
  <c r="M99" i="74"/>
  <c r="Q98" i="74"/>
  <c r="M98" i="74"/>
  <c r="Q97" i="74"/>
  <c r="M97" i="74"/>
  <c r="Q96" i="74"/>
  <c r="M96" i="74"/>
  <c r="Q95" i="74"/>
  <c r="M95" i="74"/>
  <c r="Q94" i="74"/>
  <c r="M94" i="74"/>
  <c r="Q93" i="74"/>
  <c r="M93" i="74"/>
  <c r="Q92" i="74"/>
  <c r="M92" i="74"/>
  <c r="Q91" i="74"/>
  <c r="M91" i="74"/>
  <c r="Q90" i="74"/>
  <c r="M90" i="74"/>
  <c r="Q89" i="74"/>
  <c r="M89" i="74"/>
  <c r="M86" i="74"/>
  <c r="V85" i="74"/>
  <c r="M85" i="74" s="1"/>
  <c r="W85" i="74" s="1"/>
  <c r="Q85" i="74" s="1"/>
  <c r="M84" i="74"/>
  <c r="M83" i="74"/>
  <c r="V82" i="74"/>
  <c r="M82" i="74" s="1"/>
  <c r="Q81" i="74"/>
  <c r="M81" i="74"/>
  <c r="L81" i="74"/>
  <c r="J81" i="74"/>
  <c r="C81" i="74"/>
  <c r="T80" i="74"/>
  <c r="S80" i="74"/>
  <c r="R80" i="74"/>
  <c r="Q80" i="74"/>
  <c r="P80" i="74"/>
  <c r="O80" i="74"/>
  <c r="N80" i="74"/>
  <c r="M80" i="74"/>
  <c r="J80" i="74"/>
  <c r="I80" i="74"/>
  <c r="H80" i="74"/>
  <c r="E80" i="74"/>
  <c r="D80" i="74"/>
  <c r="C80" i="74"/>
  <c r="B80" i="74"/>
  <c r="M78" i="74"/>
  <c r="M77" i="74"/>
  <c r="M76" i="74"/>
  <c r="M75" i="74"/>
  <c r="M74" i="74"/>
  <c r="M73" i="74"/>
  <c r="M72" i="74"/>
  <c r="B72" i="74"/>
  <c r="M71" i="74"/>
  <c r="B71" i="74"/>
  <c r="M70" i="74"/>
  <c r="B70" i="74"/>
  <c r="M69" i="74"/>
  <c r="B69" i="74"/>
  <c r="M68" i="74"/>
  <c r="B68" i="74"/>
  <c r="M67" i="74"/>
  <c r="B67" i="74"/>
  <c r="M66" i="74"/>
  <c r="B66" i="74"/>
  <c r="M65" i="74"/>
  <c r="B65" i="74"/>
  <c r="M64" i="74"/>
  <c r="B64" i="74"/>
  <c r="M63" i="74"/>
  <c r="B63" i="74"/>
  <c r="M62" i="74"/>
  <c r="B62" i="74"/>
  <c r="M61" i="74"/>
  <c r="B61" i="74"/>
  <c r="M60" i="74"/>
  <c r="B60" i="74"/>
  <c r="M59" i="74"/>
  <c r="B59" i="74"/>
  <c r="M58" i="74"/>
  <c r="B58" i="74"/>
  <c r="M57" i="74"/>
  <c r="B57" i="74"/>
  <c r="M56" i="74"/>
  <c r="B56" i="74"/>
  <c r="M55" i="74"/>
  <c r="B55" i="74"/>
  <c r="M54" i="74"/>
  <c r="B54" i="74"/>
  <c r="M53" i="74"/>
  <c r="B53" i="74"/>
  <c r="M52" i="74"/>
  <c r="B52" i="74"/>
  <c r="N51" i="74"/>
  <c r="M51" i="74"/>
  <c r="B51" i="74"/>
  <c r="N50" i="74"/>
  <c r="M50" i="74"/>
  <c r="B50" i="74"/>
  <c r="N49" i="74"/>
  <c r="M49" i="74"/>
  <c r="B49" i="74"/>
  <c r="O48" i="74"/>
  <c r="N48" i="74"/>
  <c r="M48" i="74"/>
  <c r="B48" i="74"/>
  <c r="O47" i="74"/>
  <c r="N47" i="74"/>
  <c r="M47" i="74"/>
  <c r="B47" i="74"/>
  <c r="O46" i="74"/>
  <c r="N46" i="74"/>
  <c r="M46" i="74"/>
  <c r="B46" i="74"/>
  <c r="O45" i="74"/>
  <c r="N45" i="74"/>
  <c r="M45" i="74"/>
  <c r="B45" i="74"/>
  <c r="O44" i="74"/>
  <c r="N44" i="74"/>
  <c r="M44" i="74"/>
  <c r="B44" i="74"/>
  <c r="O43" i="74"/>
  <c r="N43" i="74"/>
  <c r="M43" i="74"/>
  <c r="B43" i="74"/>
  <c r="O42" i="74"/>
  <c r="N42" i="74"/>
  <c r="M42" i="74"/>
  <c r="B42" i="74"/>
  <c r="O41" i="74"/>
  <c r="N41" i="74"/>
  <c r="M41" i="74"/>
  <c r="B41" i="74"/>
  <c r="R40" i="74"/>
  <c r="O40" i="74"/>
  <c r="N40" i="74"/>
  <c r="M40" i="74"/>
  <c r="B40" i="74"/>
  <c r="S39" i="74"/>
  <c r="R39" i="74"/>
  <c r="O39" i="74"/>
  <c r="N39" i="74"/>
  <c r="M39" i="74"/>
  <c r="B39" i="74"/>
  <c r="T38" i="74"/>
  <c r="S38" i="74"/>
  <c r="R38" i="74"/>
  <c r="O38" i="74"/>
  <c r="N38" i="74"/>
  <c r="M38" i="74"/>
  <c r="B38" i="74"/>
  <c r="T37" i="74"/>
  <c r="S37" i="74"/>
  <c r="R37" i="74"/>
  <c r="O37" i="74"/>
  <c r="N37" i="74"/>
  <c r="M37" i="74"/>
  <c r="B37" i="74"/>
  <c r="T36" i="74"/>
  <c r="S36" i="74"/>
  <c r="R36" i="74"/>
  <c r="O36" i="74"/>
  <c r="N36" i="74"/>
  <c r="M36" i="74"/>
  <c r="B36" i="74"/>
  <c r="T35" i="74"/>
  <c r="S35" i="74"/>
  <c r="R35" i="74"/>
  <c r="O35" i="74"/>
  <c r="N35" i="74"/>
  <c r="M35" i="74"/>
  <c r="B35" i="74"/>
  <c r="T34" i="74"/>
  <c r="S34" i="74"/>
  <c r="R34" i="74"/>
  <c r="O34" i="74"/>
  <c r="N34" i="74"/>
  <c r="M34" i="74"/>
  <c r="B34" i="74"/>
  <c r="V33" i="74"/>
  <c r="U33" i="74"/>
  <c r="T33" i="74"/>
  <c r="S33" i="74"/>
  <c r="R33" i="74"/>
  <c r="O33" i="74"/>
  <c r="N33" i="74"/>
  <c r="M33" i="74"/>
  <c r="B33" i="74"/>
  <c r="X32" i="74"/>
  <c r="W32" i="74"/>
  <c r="V32" i="74"/>
  <c r="U32" i="74"/>
  <c r="T32" i="74"/>
  <c r="S32" i="74"/>
  <c r="R32" i="74"/>
  <c r="O32" i="74"/>
  <c r="N32" i="74"/>
  <c r="M32" i="74"/>
  <c r="B32" i="74"/>
  <c r="X31" i="74"/>
  <c r="W31" i="74"/>
  <c r="V31" i="74"/>
  <c r="U31" i="74"/>
  <c r="T31" i="74"/>
  <c r="S31" i="74"/>
  <c r="R31" i="74"/>
  <c r="O31" i="74"/>
  <c r="N31" i="74"/>
  <c r="M31" i="74"/>
  <c r="B31" i="74"/>
  <c r="X30" i="74"/>
  <c r="W30" i="74"/>
  <c r="V30" i="74"/>
  <c r="U30" i="74"/>
  <c r="T30" i="74"/>
  <c r="S30" i="74"/>
  <c r="R30" i="74"/>
  <c r="P30" i="74"/>
  <c r="O30" i="74"/>
  <c r="N30" i="74"/>
  <c r="M30" i="74"/>
  <c r="B30" i="74"/>
  <c r="X29" i="74"/>
  <c r="W29" i="74"/>
  <c r="V29" i="74"/>
  <c r="U29" i="74"/>
  <c r="T29" i="74"/>
  <c r="S29" i="74"/>
  <c r="R29" i="74"/>
  <c r="Q29" i="74"/>
  <c r="P29" i="74"/>
  <c r="O29" i="74"/>
  <c r="N29" i="74"/>
  <c r="M29" i="74"/>
  <c r="B29" i="74"/>
  <c r="X28" i="74"/>
  <c r="W28" i="74"/>
  <c r="V28" i="74"/>
  <c r="U28" i="74"/>
  <c r="T28" i="74"/>
  <c r="S28" i="74"/>
  <c r="R28" i="74"/>
  <c r="Q28" i="74"/>
  <c r="P28" i="74"/>
  <c r="O28" i="74"/>
  <c r="N28" i="74"/>
  <c r="M28" i="74"/>
  <c r="B28" i="74"/>
  <c r="X27" i="74"/>
  <c r="W27" i="74"/>
  <c r="V27" i="74"/>
  <c r="U27" i="74"/>
  <c r="T27" i="74"/>
  <c r="S27" i="74"/>
  <c r="R27" i="74"/>
  <c r="Q27" i="74"/>
  <c r="P27" i="74"/>
  <c r="O27" i="74"/>
  <c r="N27" i="74"/>
  <c r="M27" i="74"/>
  <c r="B27" i="74"/>
  <c r="B24" i="74"/>
  <c r="I22" i="74"/>
  <c r="B22" i="74"/>
  <c r="I21" i="74"/>
  <c r="B21" i="74"/>
  <c r="I20" i="74"/>
  <c r="B20" i="74"/>
  <c r="B19" i="74"/>
  <c r="N17" i="74"/>
  <c r="I17" i="74"/>
  <c r="B17" i="74"/>
  <c r="I16" i="74"/>
  <c r="B16" i="74"/>
  <c r="I15" i="74"/>
  <c r="B15" i="74"/>
  <c r="I14" i="74"/>
  <c r="B14" i="74"/>
  <c r="B13" i="74"/>
  <c r="O10" i="74"/>
  <c r="O8" i="74"/>
  <c r="M86" i="76" l="1"/>
  <c r="V87" i="76"/>
  <c r="Q81" i="76"/>
  <c r="W82" i="76"/>
  <c r="W82" i="74"/>
  <c r="Q82" i="74" s="1"/>
  <c r="W86" i="74"/>
  <c r="Q86" i="74" s="1"/>
  <c r="V83" i="74"/>
  <c r="V84" i="74" s="1"/>
  <c r="V86" i="74"/>
  <c r="V87" i="74" s="1"/>
  <c r="V88" i="76" l="1"/>
  <c r="V89" i="76" s="1"/>
  <c r="V90" i="76" s="1"/>
  <c r="M87" i="76"/>
  <c r="Q82" i="76"/>
  <c r="W83" i="76"/>
  <c r="W83" i="74"/>
  <c r="M87" i="74"/>
  <c r="V88" i="74"/>
  <c r="M60" i="73"/>
  <c r="N37" i="73"/>
  <c r="O34" i="73"/>
  <c r="V91" i="76" l="1"/>
  <c r="V92" i="76" s="1"/>
  <c r="M90" i="76"/>
  <c r="Q83" i="76"/>
  <c r="W84" i="76"/>
  <c r="M88" i="74"/>
  <c r="W88" i="74" s="1"/>
  <c r="V89" i="74"/>
  <c r="V90" i="74" s="1"/>
  <c r="V91" i="74" s="1"/>
  <c r="V92" i="74" s="1"/>
  <c r="V93" i="74" s="1"/>
  <c r="V94" i="74" s="1"/>
  <c r="V95" i="74" s="1"/>
  <c r="V96" i="74" s="1"/>
  <c r="V97" i="74" s="1"/>
  <c r="V98" i="74" s="1"/>
  <c r="V99" i="74" s="1"/>
  <c r="V100" i="74" s="1"/>
  <c r="V101" i="74" s="1"/>
  <c r="W87" i="74"/>
  <c r="Q87" i="74" s="1"/>
  <c r="M102" i="74"/>
  <c r="Q83" i="74"/>
  <c r="W84" i="74"/>
  <c r="Q84" i="74" s="1"/>
  <c r="T34" i="73"/>
  <c r="T33" i="73"/>
  <c r="T32" i="73"/>
  <c r="T31" i="73"/>
  <c r="T30" i="73"/>
  <c r="T29" i="73"/>
  <c r="T28" i="73"/>
  <c r="T27" i="73"/>
  <c r="T26" i="73"/>
  <c r="T36" i="73"/>
  <c r="T35" i="73"/>
  <c r="S37" i="73"/>
  <c r="S36" i="73"/>
  <c r="S35" i="73"/>
  <c r="S34" i="73"/>
  <c r="S33" i="73"/>
  <c r="S32" i="73"/>
  <c r="S31" i="73"/>
  <c r="S30" i="73"/>
  <c r="S28" i="73"/>
  <c r="S27" i="73"/>
  <c r="S26" i="73"/>
  <c r="S29" i="73"/>
  <c r="O44" i="73"/>
  <c r="O43" i="73"/>
  <c r="O42" i="73"/>
  <c r="O41" i="73"/>
  <c r="O40" i="73"/>
  <c r="O39" i="73"/>
  <c r="O38" i="73"/>
  <c r="O37" i="73"/>
  <c r="O36" i="73"/>
  <c r="O35" i="73"/>
  <c r="O33" i="73"/>
  <c r="O32" i="73"/>
  <c r="O31" i="73"/>
  <c r="O30" i="73"/>
  <c r="O29" i="73"/>
  <c r="O28" i="73"/>
  <c r="O27" i="73"/>
  <c r="O26" i="73"/>
  <c r="O46" i="73"/>
  <c r="O45" i="73"/>
  <c r="P28" i="73"/>
  <c r="P27" i="73"/>
  <c r="P26" i="73"/>
  <c r="N26" i="73"/>
  <c r="N49" i="73"/>
  <c r="N48" i="73"/>
  <c r="N47" i="73"/>
  <c r="N46" i="73"/>
  <c r="N45" i="73"/>
  <c r="N44" i="73"/>
  <c r="N43" i="73"/>
  <c r="N42" i="73"/>
  <c r="N41" i="73"/>
  <c r="N40" i="73"/>
  <c r="N39" i="73"/>
  <c r="N38" i="73"/>
  <c r="N36" i="73"/>
  <c r="N35" i="73"/>
  <c r="N34" i="73"/>
  <c r="N33" i="73"/>
  <c r="N32" i="73"/>
  <c r="N31" i="73"/>
  <c r="N30" i="73"/>
  <c r="N29" i="73"/>
  <c r="N28" i="73"/>
  <c r="N27" i="73"/>
  <c r="M50" i="73"/>
  <c r="M62" i="73"/>
  <c r="M61" i="73"/>
  <c r="M58" i="73"/>
  <c r="M57" i="73"/>
  <c r="M56" i="73"/>
  <c r="M55" i="73"/>
  <c r="M54" i="73"/>
  <c r="M53" i="73"/>
  <c r="M68" i="73"/>
  <c r="M67" i="73"/>
  <c r="M66" i="73"/>
  <c r="M65" i="73"/>
  <c r="M51" i="73"/>
  <c r="M52" i="73"/>
  <c r="M76" i="73"/>
  <c r="M75" i="73"/>
  <c r="M74" i="73"/>
  <c r="M73" i="73"/>
  <c r="M72" i="73"/>
  <c r="M70" i="73"/>
  <c r="M71" i="73"/>
  <c r="M69" i="73"/>
  <c r="M64" i="73"/>
  <c r="M63" i="73"/>
  <c r="V93" i="76" l="1"/>
  <c r="M92" i="76"/>
  <c r="Q84" i="76"/>
  <c r="W85" i="76"/>
  <c r="Q88" i="74"/>
  <c r="Q102" i="74" s="1"/>
  <c r="W89" i="74"/>
  <c r="W90" i="74" s="1"/>
  <c r="W91" i="74" s="1"/>
  <c r="W92" i="74" s="1"/>
  <c r="W93" i="74" s="1"/>
  <c r="W94" i="74" s="1"/>
  <c r="W95" i="74" s="1"/>
  <c r="W96" i="74" s="1"/>
  <c r="W97" i="74" s="1"/>
  <c r="W98" i="74" s="1"/>
  <c r="W99" i="74" s="1"/>
  <c r="W100" i="74" s="1"/>
  <c r="W101" i="74" s="1"/>
  <c r="M59" i="73"/>
  <c r="V94" i="76" l="1"/>
  <c r="M93" i="76"/>
  <c r="Q85" i="76"/>
  <c r="Q144" i="76" s="1"/>
  <c r="W86" i="76"/>
  <c r="M26" i="73"/>
  <c r="M27" i="73"/>
  <c r="M28" i="73"/>
  <c r="M29" i="73"/>
  <c r="M30" i="73"/>
  <c r="M31" i="73"/>
  <c r="M32" i="73"/>
  <c r="M33" i="73"/>
  <c r="M34" i="73"/>
  <c r="M35" i="73"/>
  <c r="M36" i="73"/>
  <c r="M38" i="73"/>
  <c r="M39" i="73"/>
  <c r="M40" i="73"/>
  <c r="M41" i="73"/>
  <c r="M42" i="73"/>
  <c r="M43" i="73"/>
  <c r="M47" i="73"/>
  <c r="M48" i="73"/>
  <c r="M49" i="73"/>
  <c r="M46" i="73"/>
  <c r="V95" i="76" l="1"/>
  <c r="V96" i="76" s="1"/>
  <c r="V97" i="76" s="1"/>
  <c r="M94" i="76"/>
  <c r="Q86" i="76"/>
  <c r="W87" i="76"/>
  <c r="W88" i="76" s="1"/>
  <c r="W89" i="76" s="1"/>
  <c r="W90" i="76" s="1"/>
  <c r="W91" i="76" s="1"/>
  <c r="W92" i="76" s="1"/>
  <c r="W93" i="76" s="1"/>
  <c r="M45" i="73"/>
  <c r="M44" i="73"/>
  <c r="M37" i="73"/>
  <c r="W94" i="76" l="1"/>
  <c r="W95" i="76" s="1"/>
  <c r="W96" i="76" s="1"/>
  <c r="V98" i="76"/>
  <c r="V99" i="76" s="1"/>
  <c r="V104" i="76" s="1"/>
  <c r="V105" i="76" s="1"/>
  <c r="V106" i="76" s="1"/>
  <c r="V107" i="76" s="1"/>
  <c r="V108" i="76" s="1"/>
  <c r="V109" i="76" s="1"/>
  <c r="V110" i="76" s="1"/>
  <c r="V111" i="76" s="1"/>
  <c r="V112" i="76" s="1"/>
  <c r="V113" i="76" s="1"/>
  <c r="V114" i="76" s="1"/>
  <c r="V115" i="76" s="1"/>
  <c r="V116" i="76" s="1"/>
  <c r="V117" i="76" s="1"/>
  <c r="V118" i="76" s="1"/>
  <c r="V119" i="76" s="1"/>
  <c r="V120" i="76" s="1"/>
  <c r="V121" i="76" s="1"/>
  <c r="V122" i="76" s="1"/>
  <c r="V123" i="76" s="1"/>
  <c r="V124" i="76" s="1"/>
  <c r="V125" i="76" s="1"/>
  <c r="V126" i="76" s="1"/>
  <c r="V127" i="76" s="1"/>
  <c r="V128" i="76" s="1"/>
  <c r="V129" i="76" s="1"/>
  <c r="V130" i="76" s="1"/>
  <c r="V131" i="76" s="1"/>
  <c r="V132" i="76" s="1"/>
  <c r="V133" i="76" s="1"/>
  <c r="M97" i="76"/>
  <c r="P25" i="73"/>
  <c r="V25" i="73"/>
  <c r="U25" i="73"/>
  <c r="P101" i="73"/>
  <c r="J101" i="73"/>
  <c r="P100" i="73"/>
  <c r="J100" i="73"/>
  <c r="Q99" i="73"/>
  <c r="M99" i="73"/>
  <c r="Q98" i="73"/>
  <c r="M98" i="73"/>
  <c r="Q97" i="73"/>
  <c r="M97" i="73"/>
  <c r="Q96" i="73"/>
  <c r="M96" i="73"/>
  <c r="Q95" i="73"/>
  <c r="M95" i="73"/>
  <c r="Q94" i="73"/>
  <c r="M94" i="73"/>
  <c r="Q93" i="73"/>
  <c r="M93" i="73"/>
  <c r="Q92" i="73"/>
  <c r="M92" i="73"/>
  <c r="Q91" i="73"/>
  <c r="M91" i="73"/>
  <c r="Q90" i="73"/>
  <c r="M90" i="73"/>
  <c r="Q89" i="73"/>
  <c r="M89" i="73"/>
  <c r="Q88" i="73"/>
  <c r="M88" i="73"/>
  <c r="Q87" i="73"/>
  <c r="M87" i="73"/>
  <c r="M84" i="73"/>
  <c r="M82" i="73"/>
  <c r="M81" i="73"/>
  <c r="V80" i="73"/>
  <c r="V81" i="73" s="1"/>
  <c r="V82" i="73" s="1"/>
  <c r="V83" i="73" s="1"/>
  <c r="V84" i="73" s="1"/>
  <c r="V85" i="73" s="1"/>
  <c r="Q79" i="73"/>
  <c r="M79" i="73"/>
  <c r="L79" i="73"/>
  <c r="J79" i="73"/>
  <c r="C79" i="73"/>
  <c r="S78" i="73"/>
  <c r="R78" i="73"/>
  <c r="Q78" i="73"/>
  <c r="P78" i="73"/>
  <c r="O78" i="73"/>
  <c r="N78" i="73"/>
  <c r="M78" i="73"/>
  <c r="J78" i="73"/>
  <c r="I78" i="73"/>
  <c r="E78" i="73"/>
  <c r="D78" i="73"/>
  <c r="C78" i="73"/>
  <c r="B78" i="73"/>
  <c r="B70" i="73"/>
  <c r="B69" i="73"/>
  <c r="B68" i="73"/>
  <c r="B67" i="73"/>
  <c r="B66" i="73"/>
  <c r="B65" i="73"/>
  <c r="B64" i="73"/>
  <c r="B63" i="73"/>
  <c r="B62" i="73"/>
  <c r="B61" i="73"/>
  <c r="B60" i="73"/>
  <c r="B59" i="73"/>
  <c r="B58" i="73"/>
  <c r="B57" i="73"/>
  <c r="B56" i="73"/>
  <c r="B55" i="73"/>
  <c r="B54" i="73"/>
  <c r="B53" i="73"/>
  <c r="B52" i="73"/>
  <c r="B51" i="73"/>
  <c r="B50" i="73"/>
  <c r="B49" i="73"/>
  <c r="B48" i="73"/>
  <c r="B47" i="73"/>
  <c r="B46" i="73"/>
  <c r="B45" i="73"/>
  <c r="B44" i="73"/>
  <c r="B43" i="73"/>
  <c r="B42" i="73"/>
  <c r="B41" i="73"/>
  <c r="B40" i="73"/>
  <c r="B39" i="73"/>
  <c r="R38" i="73"/>
  <c r="B38" i="73"/>
  <c r="R37" i="73"/>
  <c r="B37" i="73"/>
  <c r="R36" i="73"/>
  <c r="B36" i="73"/>
  <c r="R35" i="73"/>
  <c r="B35" i="73"/>
  <c r="R34" i="73"/>
  <c r="B34" i="73"/>
  <c r="R33" i="73"/>
  <c r="B33" i="73"/>
  <c r="R32" i="73"/>
  <c r="B32" i="73"/>
  <c r="V31" i="73"/>
  <c r="U31" i="73"/>
  <c r="R31" i="73"/>
  <c r="B31" i="73"/>
  <c r="X30" i="73"/>
  <c r="W30" i="73"/>
  <c r="V30" i="73"/>
  <c r="U30" i="73"/>
  <c r="R30" i="73"/>
  <c r="B30" i="73"/>
  <c r="X29" i="73"/>
  <c r="W29" i="73"/>
  <c r="V29" i="73"/>
  <c r="U29" i="73"/>
  <c r="R29" i="73"/>
  <c r="B29" i="73"/>
  <c r="X28" i="73"/>
  <c r="W28" i="73"/>
  <c r="V28" i="73"/>
  <c r="U28" i="73"/>
  <c r="R28" i="73"/>
  <c r="B28" i="73"/>
  <c r="X27" i="73"/>
  <c r="W27" i="73"/>
  <c r="V27" i="73"/>
  <c r="U27" i="73"/>
  <c r="R27" i="73"/>
  <c r="Q27" i="73"/>
  <c r="B27" i="73"/>
  <c r="X26" i="73"/>
  <c r="W26" i="73"/>
  <c r="V26" i="73"/>
  <c r="U26" i="73"/>
  <c r="R26" i="73"/>
  <c r="Q26" i="73"/>
  <c r="B26" i="73"/>
  <c r="X25" i="73"/>
  <c r="W25" i="73"/>
  <c r="T25" i="73"/>
  <c r="S25" i="73"/>
  <c r="R25" i="73"/>
  <c r="Q25" i="73"/>
  <c r="O25" i="73"/>
  <c r="N25" i="73"/>
  <c r="M25" i="73"/>
  <c r="B25" i="73"/>
  <c r="B22" i="73"/>
  <c r="I20" i="73"/>
  <c r="B20" i="73"/>
  <c r="I19" i="73"/>
  <c r="B19" i="73"/>
  <c r="I18" i="73"/>
  <c r="B18" i="73"/>
  <c r="B17" i="73"/>
  <c r="N15" i="73"/>
  <c r="I15" i="73"/>
  <c r="B15" i="73"/>
  <c r="I14" i="73"/>
  <c r="B14" i="73"/>
  <c r="I13" i="73"/>
  <c r="B13" i="73"/>
  <c r="I12" i="73"/>
  <c r="B12" i="73"/>
  <c r="B11" i="73"/>
  <c r="O8" i="73"/>
  <c r="O6" i="73"/>
  <c r="B5" i="73"/>
  <c r="W97" i="76" l="1"/>
  <c r="W98" i="76" s="1"/>
  <c r="W99" i="76" s="1"/>
  <c r="W104" i="76" s="1"/>
  <c r="W105" i="76" s="1"/>
  <c r="W106" i="76" s="1"/>
  <c r="W107" i="76" s="1"/>
  <c r="W108" i="76" s="1"/>
  <c r="W109" i="76" s="1"/>
  <c r="W110" i="76" s="1"/>
  <c r="W111" i="76" s="1"/>
  <c r="W112" i="76" s="1"/>
  <c r="W113" i="76" s="1"/>
  <c r="W114" i="76" s="1"/>
  <c r="W115" i="76" s="1"/>
  <c r="W116" i="76" s="1"/>
  <c r="W117" i="76" s="1"/>
  <c r="W118" i="76" s="1"/>
  <c r="W119" i="76" s="1"/>
  <c r="W120" i="76" s="1"/>
  <c r="W121" i="76" s="1"/>
  <c r="W122" i="76" s="1"/>
  <c r="W123" i="76" s="1"/>
  <c r="W124" i="76" s="1"/>
  <c r="W125" i="76" s="1"/>
  <c r="W126" i="76" s="1"/>
  <c r="W127" i="76" s="1"/>
  <c r="W128" i="76" s="1"/>
  <c r="W129" i="76" s="1"/>
  <c r="W130" i="76" s="1"/>
  <c r="W131" i="76" s="1"/>
  <c r="W132" i="76" s="1"/>
  <c r="W133" i="76" s="1"/>
  <c r="M80" i="73"/>
  <c r="W80" i="73" s="1"/>
  <c r="M83" i="73"/>
  <c r="V86" i="73"/>
  <c r="M85" i="73"/>
  <c r="W81" i="73"/>
  <c r="V87" i="73" l="1"/>
  <c r="V88" i="73" s="1"/>
  <c r="V89" i="73" s="1"/>
  <c r="V90" i="73" s="1"/>
  <c r="V91" i="73" s="1"/>
  <c r="V92" i="73" s="1"/>
  <c r="V93" i="73" s="1"/>
  <c r="V94" i="73" s="1"/>
  <c r="V95" i="73" s="1"/>
  <c r="V96" i="73" s="1"/>
  <c r="V97" i="73" s="1"/>
  <c r="V98" i="73" s="1"/>
  <c r="V99" i="73" s="1"/>
  <c r="M86" i="73"/>
  <c r="W82" i="73"/>
  <c r="W83" i="73" l="1"/>
  <c r="M100" i="73"/>
  <c r="W84" i="73" l="1"/>
  <c r="W85" i="73" l="1"/>
  <c r="W86" i="73" l="1"/>
  <c r="W87" i="73" l="1"/>
  <c r="W88" i="73" s="1"/>
  <c r="W89" i="73" s="1"/>
  <c r="W90" i="73" s="1"/>
  <c r="W91" i="73" s="1"/>
  <c r="W92" i="73" s="1"/>
  <c r="W93" i="73" s="1"/>
  <c r="W94" i="73" s="1"/>
  <c r="W95" i="73" s="1"/>
  <c r="W96" i="73" s="1"/>
  <c r="W97" i="73" s="1"/>
  <c r="W98" i="73" s="1"/>
  <c r="W99" i="73" s="1"/>
  <c r="Q100" i="73"/>
</calcChain>
</file>

<file path=xl/comments1.xml><?xml version="1.0" encoding="utf-8"?>
<comments xmlns="http://schemas.openxmlformats.org/spreadsheetml/2006/main">
  <authors>
    <author>作成者</author>
  </authors>
  <commentList>
    <comment ref="E22" authorId="0" shapeId="0">
      <text>
        <r>
          <rPr>
            <sz val="14"/>
            <color indexed="81"/>
            <rFont val="ＭＳ Ｐゴシック"/>
            <family val="3"/>
            <charset val="128"/>
          </rPr>
          <t>この箇所はﾄﾞﾛｯﾌﾟﾀﾞｳﾝﾘｽﾄにて選択し変更可能です。
　　Drop down list: mg, g</t>
        </r>
      </text>
    </comment>
    <comment ref="G22" authorId="0" shapeId="0">
      <text>
        <r>
          <rPr>
            <sz val="14"/>
            <color indexed="81"/>
            <rFont val="ＭＳ Ｐゴシック"/>
            <family val="3"/>
            <charset val="128"/>
          </rPr>
          <t>この箇所はﾄﾞﾛｯﾌﾟﾀﾞｳﾝﾘｽﾄにて選択し変更可能です。
　　Drop down list: pcs, m, m2</t>
        </r>
      </text>
    </comment>
  </commentList>
</comments>
</file>

<file path=xl/comments2.xml><?xml version="1.0" encoding="utf-8"?>
<comments xmlns="http://schemas.openxmlformats.org/spreadsheetml/2006/main">
  <authors>
    <author>作成者</author>
  </authors>
  <commentList>
    <comment ref="E22" authorId="0" shapeId="0">
      <text>
        <r>
          <rPr>
            <sz val="14"/>
            <color indexed="81"/>
            <rFont val="ＭＳ Ｐゴシック"/>
            <family val="3"/>
            <charset val="128"/>
          </rPr>
          <t>この箇所はﾄﾞﾛｯﾌﾟﾀﾞｳﾝﾘｽﾄにて選択し変更可能です。
　　Drop down list: mg, g</t>
        </r>
      </text>
    </comment>
    <comment ref="G22" authorId="0" shapeId="0">
      <text>
        <r>
          <rPr>
            <sz val="14"/>
            <color indexed="81"/>
            <rFont val="ＭＳ Ｐゴシック"/>
            <family val="3"/>
            <charset val="128"/>
          </rPr>
          <t>この箇所はﾄﾞﾛｯﾌﾟﾀﾞｳﾝﾘｽﾄにて選択し変更可能です。
　　Drop down list: pcs, m, m2</t>
        </r>
      </text>
    </comment>
  </commentList>
</comments>
</file>

<file path=xl/comments3.xml><?xml version="1.0" encoding="utf-8"?>
<comments xmlns="http://schemas.openxmlformats.org/spreadsheetml/2006/main">
  <authors>
    <author>作成者</author>
  </authors>
  <commentList>
    <comment ref="E24" authorId="0" shapeId="0">
      <text>
        <r>
          <rPr>
            <sz val="14"/>
            <color indexed="81"/>
            <rFont val="ＭＳ Ｐゴシック"/>
            <family val="3"/>
            <charset val="128"/>
          </rPr>
          <t>この箇所はﾄﾞﾛｯﾌﾟﾀﾞｳﾝﾘｽﾄにて選択し変更可能です。
　　Drop down list: mg, g</t>
        </r>
      </text>
    </comment>
    <comment ref="G24" authorId="0" shapeId="0">
      <text>
        <r>
          <rPr>
            <sz val="14"/>
            <color indexed="81"/>
            <rFont val="ＭＳ Ｐゴシック"/>
            <family val="3"/>
            <charset val="128"/>
          </rPr>
          <t>この箇所はﾄﾞﾛｯﾌﾟﾀﾞｳﾝﾘｽﾄにて選択し変更可能です。
　　Drop down list: pcs, m, m2</t>
        </r>
      </text>
    </comment>
  </commentList>
</comments>
</file>

<file path=xl/comments4.xml><?xml version="1.0" encoding="utf-8"?>
<comments xmlns="http://schemas.openxmlformats.org/spreadsheetml/2006/main">
  <authors>
    <author>作成者</author>
  </authors>
  <commentList>
    <comment ref="E24" authorId="0" shapeId="0">
      <text>
        <r>
          <rPr>
            <sz val="14"/>
            <color indexed="81"/>
            <rFont val="ＭＳ Ｐゴシック"/>
            <family val="3"/>
            <charset val="128"/>
          </rPr>
          <t>この箇所はﾄﾞﾛｯﾌﾟﾀﾞｳﾝﾘｽﾄにて選択し変更可能です。
　　Drop down list: mg, g</t>
        </r>
      </text>
    </comment>
    <comment ref="G24" authorId="0" shapeId="0">
      <text>
        <r>
          <rPr>
            <sz val="14"/>
            <color indexed="81"/>
            <rFont val="ＭＳ Ｐゴシック"/>
            <family val="3"/>
            <charset val="128"/>
          </rPr>
          <t>この箇所はﾄﾞﾛｯﾌﾟﾀﾞｳﾝﾘｽﾄにて選択し変更可能です。
　　Drop down list: pcs, m, m2</t>
        </r>
      </text>
    </comment>
  </commentList>
</comments>
</file>

<file path=xl/comments5.xml><?xml version="1.0" encoding="utf-8"?>
<comments xmlns="http://schemas.openxmlformats.org/spreadsheetml/2006/main">
  <authors>
    <author>作成者</author>
  </authors>
  <commentList>
    <comment ref="E24" authorId="0" shapeId="0">
      <text>
        <r>
          <rPr>
            <sz val="14"/>
            <color indexed="81"/>
            <rFont val="ＭＳ Ｐゴシック"/>
            <family val="3"/>
            <charset val="128"/>
          </rPr>
          <t>この箇所はﾄﾞﾛｯﾌﾟﾀﾞｳﾝﾘｽﾄにて選択し変更可能です。
　　Drop down list: mg, g</t>
        </r>
      </text>
    </comment>
    <comment ref="G24" authorId="0" shapeId="0">
      <text>
        <r>
          <rPr>
            <sz val="14"/>
            <color indexed="81"/>
            <rFont val="ＭＳ Ｐゴシック"/>
            <family val="3"/>
            <charset val="128"/>
          </rPr>
          <t>この箇所はﾄﾞﾛｯﾌﾟﾀﾞｳﾝﾘｽﾄにて選択し変更可能です。
　　Drop down list: pcs, m, m2</t>
        </r>
      </text>
    </comment>
  </commentList>
</comments>
</file>

<file path=xl/sharedStrings.xml><?xml version="1.0" encoding="utf-8"?>
<sst xmlns="http://schemas.openxmlformats.org/spreadsheetml/2006/main" count="172" uniqueCount="64">
  <si>
    <t xml:space="preserve"> </t>
    <phoneticPr fontId="4"/>
  </si>
  <si>
    <t xml:space="preserve">    </t>
    <phoneticPr fontId="4"/>
  </si>
  <si>
    <t xml:space="preserve">  </t>
    <phoneticPr fontId="4"/>
  </si>
  <si>
    <t xml:space="preserve">No </t>
  </si>
  <si>
    <t>pcs</t>
  </si>
  <si>
    <t>コンタクト</t>
    <phoneticPr fontId="2"/>
  </si>
  <si>
    <t>金</t>
    <rPh sb="0" eb="1">
      <t>キン</t>
    </rPh>
    <phoneticPr fontId="2"/>
  </si>
  <si>
    <t>ハウジング</t>
    <phoneticPr fontId="2"/>
  </si>
  <si>
    <t>ニッケル</t>
    <phoneticPr fontId="2"/>
  </si>
  <si>
    <t>アンチモン</t>
    <phoneticPr fontId="2"/>
  </si>
  <si>
    <t>銅</t>
    <rPh sb="0" eb="1">
      <t>ドウ</t>
    </rPh>
    <phoneticPr fontId="2"/>
  </si>
  <si>
    <t>亜鉛</t>
    <rPh sb="0" eb="2">
      <t>アエン</t>
    </rPh>
    <phoneticPr fontId="2"/>
  </si>
  <si>
    <t>使用目的リスト</t>
    <rPh sb="0" eb="1">
      <t>シ</t>
    </rPh>
    <rPh sb="1" eb="2">
      <t>ヨウ</t>
    </rPh>
    <rPh sb="2" eb="4">
      <t>モクテキ</t>
    </rPh>
    <phoneticPr fontId="27"/>
  </si>
  <si>
    <t>言語を選択ください / First, select the language you use. / 请选择一种语言</t>
    <rPh sb="0" eb="2">
      <t>ゲンゴ</t>
    </rPh>
    <rPh sb="3" eb="5">
      <t>センタク</t>
    </rPh>
    <phoneticPr fontId="2"/>
  </si>
  <si>
    <t>日本語</t>
    <rPh sb="0" eb="3">
      <t>ニホンゴ</t>
    </rPh>
    <phoneticPr fontId="2"/>
  </si>
  <si>
    <t>English</t>
    <phoneticPr fontId="2"/>
  </si>
  <si>
    <t>中国語</t>
    <rPh sb="0" eb="3">
      <t>チュウゴクゴ</t>
    </rPh>
    <phoneticPr fontId="2"/>
  </si>
  <si>
    <t>Form：F-xxxx-yy</t>
    <phoneticPr fontId="2"/>
  </si>
  <si>
    <t>言語を選択ください / First, select the language you use. / 请选择一种语言</t>
    <phoneticPr fontId="2"/>
  </si>
  <si>
    <t>g</t>
  </si>
  <si>
    <t>/</t>
    <phoneticPr fontId="2"/>
  </si>
  <si>
    <t>ガラス繊維</t>
    <rPh sb="3" eb="5">
      <t>センイ</t>
    </rPh>
    <phoneticPr fontId="2"/>
  </si>
  <si>
    <t>母材</t>
  </si>
  <si>
    <t>銅合金</t>
  </si>
  <si>
    <t>表面処理系_めっき</t>
  </si>
  <si>
    <t>ニッケルめっき</t>
  </si>
  <si>
    <t>金めっき</t>
  </si>
  <si>
    <t>ナイロン66</t>
    <phoneticPr fontId="2"/>
  </si>
  <si>
    <t>PA(ポリアミド)</t>
  </si>
  <si>
    <t>聚酰胺 (PA)</t>
  </si>
  <si>
    <t>铜合金</t>
  </si>
  <si>
    <t>表面处理_电镀</t>
  </si>
  <si>
    <t>镀镍</t>
  </si>
  <si>
    <t>镀金</t>
  </si>
  <si>
    <t>镍</t>
    <phoneticPr fontId="2"/>
  </si>
  <si>
    <t>主成分</t>
  </si>
  <si>
    <t>ガラス成分</t>
  </si>
  <si>
    <t>難燃性向上</t>
  </si>
  <si>
    <t>金属、合金成分</t>
  </si>
  <si>
    <t>玻璃成分</t>
  </si>
  <si>
    <t>改善阻燃性</t>
  </si>
  <si>
    <t>無電解メッキ</t>
  </si>
  <si>
    <t>電解メッキ</t>
  </si>
  <si>
    <t>无电解电镀</t>
  </si>
  <si>
    <t>电解电镀</t>
  </si>
  <si>
    <t>言語を選択ください / First, select the language you use. / 请选择一种语言</t>
    <phoneticPr fontId="2"/>
  </si>
  <si>
    <t>English</t>
    <phoneticPr fontId="2"/>
  </si>
  <si>
    <t xml:space="preserve">    </t>
    <phoneticPr fontId="4"/>
  </si>
  <si>
    <t xml:space="preserve">  </t>
    <phoneticPr fontId="4"/>
  </si>
  <si>
    <t>/</t>
    <phoneticPr fontId="2"/>
  </si>
  <si>
    <t>外壳</t>
    <phoneticPr fontId="2"/>
  </si>
  <si>
    <t>锦纶</t>
    <phoneticPr fontId="2"/>
  </si>
  <si>
    <t>玻璃纤维</t>
    <phoneticPr fontId="2"/>
  </si>
  <si>
    <t>锑</t>
    <phoneticPr fontId="2"/>
  </si>
  <si>
    <t>连接器</t>
    <phoneticPr fontId="2"/>
  </si>
  <si>
    <t>铜</t>
    <phoneticPr fontId="2"/>
  </si>
  <si>
    <t>锌</t>
    <phoneticPr fontId="2"/>
  </si>
  <si>
    <t>Form：F-xxxx-yy</t>
    <phoneticPr fontId="2"/>
  </si>
  <si>
    <t>English</t>
  </si>
  <si>
    <t>P1</t>
    <phoneticPr fontId="2"/>
  </si>
  <si>
    <t>P2</t>
    <phoneticPr fontId="2"/>
  </si>
  <si>
    <t>意図的/不純物,備考</t>
    <rPh sb="4" eb="7">
      <t>フジュンブツ</t>
    </rPh>
    <rPh sb="8" eb="10">
      <t>ビコウ</t>
    </rPh>
    <phoneticPr fontId="2"/>
  </si>
  <si>
    <t>日本語</t>
  </si>
  <si>
    <t>Form：F-0071-03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</si>
</sst>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0;[Red]&quot;¥&quot;\-#,##0"/>
    <numFmt numFmtId="165" formatCode="0.0%"/>
    <numFmt numFmtId="166" formatCode="#,##0.00_ "/>
    <numFmt numFmtId="167" formatCode="#,##0_ "/>
    <numFmt numFmtId="168" formatCode="#,##0.000_);[Red]\(#,##0.000\)"/>
    <numFmt numFmtId="169" formatCode="0.0000"/>
  </numFmts>
  <fonts count="4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ゴシック"/>
      <family val="3"/>
      <charset val="128"/>
    </font>
    <font>
      <sz val="11"/>
      <name val="ＭＳ 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indexed="12"/>
      <name val="ＭＳ Ｐゴシック"/>
      <family val="3"/>
      <charset val="128"/>
    </font>
    <font>
      <sz val="11"/>
      <color theme="1"/>
      <name val="Calibri"/>
      <family val="3"/>
      <charset val="128"/>
      <scheme val="minor"/>
    </font>
    <font>
      <sz val="11"/>
      <color theme="1"/>
      <name val="ＭＳ Ｐゴシック"/>
      <family val="3"/>
      <charset val="128"/>
    </font>
    <font>
      <sz val="14"/>
      <color indexed="81"/>
      <name val="ＭＳ Ｐゴシック"/>
      <family val="3"/>
      <charset val="128"/>
    </font>
    <font>
      <sz val="6"/>
      <name val="ＭＳ ゴシック"/>
      <family val="3"/>
      <charset val="128"/>
    </font>
    <font>
      <sz val="11"/>
      <name val="Microsoft YaHei"/>
      <family val="2"/>
      <charset val="134"/>
    </font>
    <font>
      <sz val="11"/>
      <name val="Microsoft YaHei"/>
      <family val="2"/>
    </font>
    <font>
      <sz val="18"/>
      <name val="Microsoft YaHei"/>
      <family val="2"/>
    </font>
    <font>
      <sz val="10"/>
      <color indexed="10"/>
      <name val="Microsoft YaHei"/>
      <family val="2"/>
    </font>
    <font>
      <sz val="10"/>
      <name val="Microsoft YaHei"/>
      <family val="2"/>
    </font>
    <font>
      <b/>
      <sz val="9"/>
      <color indexed="12"/>
      <name val="Microsoft YaHei"/>
      <family val="2"/>
    </font>
    <font>
      <sz val="9"/>
      <name val="Microsoft YaHei"/>
      <family val="2"/>
    </font>
    <font>
      <sz val="9"/>
      <color indexed="12"/>
      <name val="Microsoft YaHei"/>
      <family val="2"/>
    </font>
    <font>
      <sz val="10"/>
      <color indexed="12"/>
      <name val="Microsoft YaHei"/>
      <family val="2"/>
    </font>
    <font>
      <b/>
      <sz val="11"/>
      <name val="Microsoft YaHei"/>
      <family val="2"/>
    </font>
    <font>
      <b/>
      <sz val="10"/>
      <name val="Microsoft YaHei"/>
      <family val="2"/>
    </font>
    <font>
      <sz val="10"/>
      <color rgb="FF00B050"/>
      <name val="Microsoft YaHei"/>
      <family val="2"/>
    </font>
    <font>
      <sz val="11"/>
      <color indexed="12"/>
      <name val="Microsoft YaHei"/>
      <family val="2"/>
    </font>
    <font>
      <sz val="14"/>
      <name val="Microsoft YaHei"/>
      <family val="2"/>
    </font>
    <font>
      <sz val="10"/>
      <color indexed="16"/>
      <name val="Microsoft YaHei"/>
      <family val="2"/>
    </font>
    <font>
      <sz val="8"/>
      <name val="Microsoft YaHei"/>
      <family val="2"/>
    </font>
    <font>
      <sz val="6"/>
      <name val="Microsoft YaHei"/>
      <family val="2"/>
    </font>
    <font>
      <sz val="12"/>
      <name val="Microsoft YaHei"/>
      <family val="2"/>
    </font>
    <font>
      <sz val="7"/>
      <name val="Microsoft YaHei"/>
      <family val="2"/>
    </font>
    <font>
      <sz val="10"/>
      <name val="SimSun"/>
      <charset val="134"/>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indexed="42"/>
        <bgColor indexed="64"/>
      </patternFill>
    </fill>
    <fill>
      <patternFill patternType="solid">
        <fgColor rgb="FFFFFFCC"/>
        <bgColor indexed="26"/>
      </patternFill>
    </fill>
    <fill>
      <patternFill patternType="solid">
        <fgColor rgb="FFFFC000"/>
        <bgColor indexed="64"/>
      </patternFill>
    </fill>
    <fill>
      <patternFill patternType="solid">
        <fgColor theme="5" tint="0.79998168889431442"/>
        <bgColor indexed="64"/>
      </patternFill>
    </fill>
    <fill>
      <patternFill patternType="solid">
        <fgColor rgb="FFCCFFCC"/>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3"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6"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164" fontId="1" fillId="0" borderId="0" applyFont="0" applyFill="0" applyBorder="0" applyAlignment="0" applyProtection="0"/>
    <xf numFmtId="0" fontId="21" fillId="7" borderId="4" applyNumberFormat="0" applyAlignment="0" applyProtection="0">
      <alignment vertical="center"/>
    </xf>
    <xf numFmtId="0" fontId="1" fillId="0" borderId="0">
      <alignment vertical="center"/>
    </xf>
    <xf numFmtId="0" fontId="24" fillId="0" borderId="0">
      <alignment vertical="center"/>
    </xf>
    <xf numFmtId="0" fontId="25" fillId="0" borderId="0">
      <alignment vertical="center"/>
    </xf>
    <xf numFmtId="0" fontId="22" fillId="4" borderId="0" applyNumberFormat="0" applyBorder="0" applyAlignment="0" applyProtection="0">
      <alignment vertical="center"/>
    </xf>
    <xf numFmtId="0" fontId="5" fillId="0" borderId="0"/>
    <xf numFmtId="0" fontId="1" fillId="0" borderId="0"/>
    <xf numFmtId="0" fontId="1" fillId="0" borderId="0"/>
    <xf numFmtId="0" fontId="1" fillId="0" borderId="0">
      <alignment vertical="center"/>
    </xf>
  </cellStyleXfs>
  <cellXfs count="394">
    <xf numFmtId="0" fontId="0" fillId="0" borderId="0" xfId="0"/>
    <xf numFmtId="0" fontId="28" fillId="0" borderId="0" xfId="0" applyFont="1" applyAlignment="1">
      <alignment vertical="center"/>
    </xf>
    <xf numFmtId="0" fontId="28" fillId="0" borderId="0" xfId="0" applyFont="1"/>
    <xf numFmtId="0" fontId="29" fillId="0" borderId="0" xfId="0" applyFont="1" applyBorder="1" applyAlignment="1">
      <alignment vertical="center"/>
    </xf>
    <xf numFmtId="0" fontId="30" fillId="0" borderId="0" xfId="0" applyFont="1" applyAlignment="1">
      <alignment horizontal="center" vertical="center"/>
    </xf>
    <xf numFmtId="0" fontId="31" fillId="0" borderId="0" xfId="0" applyFont="1" applyBorder="1" applyAlignment="1">
      <alignment vertical="center"/>
    </xf>
    <xf numFmtId="0" fontId="31" fillId="26" borderId="0" xfId="0" applyFont="1" applyFill="1" applyBorder="1" applyAlignment="1">
      <alignment vertical="center"/>
    </xf>
    <xf numFmtId="0" fontId="32" fillId="0" borderId="0" xfId="0" applyFont="1" applyBorder="1" applyAlignment="1" applyProtection="1">
      <alignment vertical="center"/>
      <protection locked="0"/>
    </xf>
    <xf numFmtId="0" fontId="32" fillId="0" borderId="0" xfId="0" applyFont="1" applyBorder="1" applyAlignment="1">
      <alignment horizontal="left" vertical="center"/>
    </xf>
    <xf numFmtId="0" fontId="32" fillId="26" borderId="0" xfId="0" applyFont="1" applyFill="1" applyBorder="1" applyAlignment="1">
      <alignment vertical="center"/>
    </xf>
    <xf numFmtId="0" fontId="30" fillId="26" borderId="0" xfId="0" applyFont="1" applyFill="1" applyBorder="1" applyAlignment="1">
      <alignment horizontal="center" vertical="center"/>
    </xf>
    <xf numFmtId="0" fontId="29" fillId="26" borderId="0" xfId="0" applyFont="1" applyFill="1" applyBorder="1" applyAlignment="1">
      <alignment vertical="center"/>
    </xf>
    <xf numFmtId="0" fontId="33" fillId="0" borderId="0" xfId="0" applyFont="1" applyBorder="1" applyAlignment="1">
      <alignment horizontal="center" vertical="top"/>
    </xf>
    <xf numFmtId="0" fontId="33" fillId="26" borderId="0" xfId="0" applyFont="1" applyFill="1" applyBorder="1" applyAlignment="1">
      <alignment horizontal="center" vertical="top"/>
    </xf>
    <xf numFmtId="0" fontId="33" fillId="26" borderId="0" xfId="0" applyFont="1" applyFill="1" applyBorder="1" applyAlignment="1">
      <alignment horizontal="center" vertical="center"/>
    </xf>
    <xf numFmtId="0" fontId="29" fillId="26" borderId="0" xfId="48" applyFont="1" applyFill="1" applyBorder="1" applyAlignment="1">
      <alignment vertical="center"/>
    </xf>
    <xf numFmtId="0" fontId="32" fillId="26" borderId="0" xfId="0" applyFont="1" applyFill="1" applyBorder="1" applyAlignment="1">
      <alignment horizontal="left"/>
    </xf>
    <xf numFmtId="0" fontId="32" fillId="26" borderId="0" xfId="0" applyFont="1" applyFill="1" applyBorder="1" applyAlignment="1">
      <alignment horizontal="center"/>
    </xf>
    <xf numFmtId="0" fontId="34" fillId="26" borderId="0" xfId="0" applyFont="1" applyFill="1" applyBorder="1" applyAlignment="1">
      <alignment horizontal="center" vertical="center"/>
    </xf>
    <xf numFmtId="0" fontId="32" fillId="0" borderId="0" xfId="0" applyFont="1" applyFill="1" applyBorder="1" applyAlignment="1">
      <alignment horizontal="center" vertical="center"/>
    </xf>
    <xf numFmtId="0" fontId="32" fillId="26" borderId="0" xfId="0" applyFont="1" applyFill="1" applyAlignment="1">
      <alignment vertical="center"/>
    </xf>
    <xf numFmtId="0" fontId="32" fillId="26" borderId="0" xfId="0" applyFont="1" applyFill="1" applyBorder="1" applyAlignment="1" applyProtection="1">
      <alignment vertical="center"/>
    </xf>
    <xf numFmtId="0" fontId="29" fillId="26" borderId="0" xfId="0" applyFont="1" applyFill="1" applyAlignment="1">
      <alignment vertical="center"/>
    </xf>
    <xf numFmtId="0" fontId="32" fillId="26" borderId="0" xfId="0" applyFont="1" applyFill="1" applyBorder="1" applyAlignment="1">
      <alignment horizontal="center" vertical="center"/>
    </xf>
    <xf numFmtId="0" fontId="34" fillId="0" borderId="0" xfId="0" applyFont="1" applyFill="1" applyBorder="1" applyAlignment="1">
      <alignment horizontal="center" vertical="center"/>
    </xf>
    <xf numFmtId="0" fontId="32" fillId="0" borderId="0" xfId="0" applyFont="1" applyAlignment="1">
      <alignment vertical="center"/>
    </xf>
    <xf numFmtId="0" fontId="35" fillId="0" borderId="0" xfId="0" applyFont="1" applyBorder="1" applyAlignment="1" applyProtection="1">
      <alignment vertical="center"/>
      <protection locked="0"/>
    </xf>
    <xf numFmtId="0" fontId="32" fillId="0" borderId="0" xfId="0" applyFont="1" applyBorder="1" applyAlignment="1">
      <alignment vertical="center"/>
    </xf>
    <xf numFmtId="0" fontId="32" fillId="0" borderId="0" xfId="0" applyFont="1" applyBorder="1" applyAlignment="1">
      <alignment horizontal="center" vertical="center"/>
    </xf>
    <xf numFmtId="0" fontId="35" fillId="0" borderId="0" xfId="0" applyFont="1" applyAlignment="1" applyProtection="1">
      <alignment vertical="center"/>
    </xf>
    <xf numFmtId="0" fontId="29" fillId="0" borderId="0" xfId="0" applyFont="1" applyBorder="1" applyAlignment="1">
      <alignment horizontal="left" vertical="center"/>
    </xf>
    <xf numFmtId="0" fontId="36" fillId="0" borderId="0" xfId="0" applyFont="1" applyBorder="1" applyAlignment="1" applyProtection="1">
      <alignment vertical="center"/>
    </xf>
    <xf numFmtId="0" fontId="37" fillId="0" borderId="0" xfId="0" applyFont="1" applyAlignment="1">
      <alignment vertical="center"/>
    </xf>
    <xf numFmtId="0" fontId="38" fillId="0" borderId="0" xfId="0" applyFont="1" applyAlignment="1">
      <alignment vertical="center"/>
    </xf>
    <xf numFmtId="0" fontId="35" fillId="0" borderId="0" xfId="0" applyFont="1" applyAlignment="1">
      <alignment vertical="center"/>
    </xf>
    <xf numFmtId="0" fontId="39" fillId="0" borderId="0" xfId="0" applyFont="1" applyAlignment="1">
      <alignment vertical="center"/>
    </xf>
    <xf numFmtId="0" fontId="32" fillId="0" borderId="0" xfId="0" applyFont="1" applyAlignment="1">
      <alignment horizontal="left" vertical="center" wrapText="1"/>
    </xf>
    <xf numFmtId="49" fontId="34" fillId="26" borderId="0" xfId="0" applyNumberFormat="1" applyFont="1" applyFill="1" applyBorder="1" applyAlignment="1">
      <alignment horizontal="left" vertical="center" wrapText="1"/>
    </xf>
    <xf numFmtId="0" fontId="29" fillId="26" borderId="0" xfId="0" applyFont="1" applyFill="1" applyBorder="1" applyAlignment="1"/>
    <xf numFmtId="0" fontId="37" fillId="26" borderId="0" xfId="0" applyFont="1" applyFill="1" applyBorder="1" applyAlignment="1">
      <alignment vertical="center" wrapText="1"/>
    </xf>
    <xf numFmtId="0" fontId="29" fillId="26" borderId="0" xfId="0" applyFont="1" applyFill="1" applyBorder="1" applyAlignment="1">
      <alignment wrapText="1"/>
    </xf>
    <xf numFmtId="0" fontId="29" fillId="0" borderId="0" xfId="0" applyFont="1" applyAlignment="1">
      <alignment wrapText="1"/>
    </xf>
    <xf numFmtId="0" fontId="29" fillId="0" borderId="0" xfId="0" applyFont="1" applyBorder="1" applyAlignment="1"/>
    <xf numFmtId="0" fontId="29" fillId="0" borderId="0" xfId="0" applyFont="1" applyBorder="1" applyAlignment="1" applyProtection="1">
      <alignment vertical="center"/>
    </xf>
    <xf numFmtId="0" fontId="29" fillId="0" borderId="0" xfId="0" applyFont="1" applyBorder="1" applyAlignment="1">
      <alignment horizontal="right" vertical="center"/>
    </xf>
    <xf numFmtId="0" fontId="40" fillId="0" borderId="0" xfId="0" applyFont="1" applyFill="1" applyBorder="1" applyAlignment="1">
      <alignment horizontal="center" vertical="center"/>
    </xf>
    <xf numFmtId="0" fontId="29" fillId="0" borderId="0" xfId="0" applyFont="1"/>
    <xf numFmtId="0" fontId="29" fillId="26" borderId="0" xfId="0" applyFont="1" applyFill="1" applyBorder="1" applyAlignment="1">
      <alignment horizontal="left" vertical="center" shrinkToFit="1"/>
    </xf>
    <xf numFmtId="0" fontId="41" fillId="28" borderId="16" xfId="49" applyFont="1" applyFill="1" applyBorder="1" applyAlignment="1" applyProtection="1">
      <alignment horizontal="right" vertical="center"/>
      <protection locked="0"/>
    </xf>
    <xf numFmtId="0" fontId="29" fillId="28" borderId="31" xfId="0" applyFont="1" applyFill="1" applyBorder="1" applyAlignment="1">
      <alignment horizontal="center" vertical="center"/>
    </xf>
    <xf numFmtId="0" fontId="41" fillId="28" borderId="17" xfId="49" applyFont="1" applyFill="1" applyBorder="1" applyAlignment="1" applyProtection="1">
      <alignment horizontal="left" vertical="center"/>
      <protection locked="0"/>
    </xf>
    <xf numFmtId="49" fontId="42" fillId="26" borderId="0" xfId="0" applyNumberFormat="1" applyFont="1" applyFill="1" applyBorder="1" applyAlignment="1">
      <alignment horizontal="left" vertical="center" wrapText="1"/>
    </xf>
    <xf numFmtId="0" fontId="29" fillId="26" borderId="0" xfId="0" applyFont="1" applyFill="1" applyBorder="1" applyAlignment="1">
      <alignment horizontal="center" vertical="center"/>
    </xf>
    <xf numFmtId="0" fontId="29" fillId="0" borderId="0" xfId="50" applyFont="1" applyFill="1" applyAlignment="1">
      <alignment vertical="center"/>
    </xf>
    <xf numFmtId="0" fontId="29" fillId="32" borderId="0" xfId="50" applyFont="1" applyFill="1" applyAlignment="1" applyProtection="1">
      <alignment vertical="center"/>
      <protection locked="0"/>
    </xf>
    <xf numFmtId="0" fontId="29" fillId="0" borderId="0" xfId="50" applyFont="1" applyFill="1" applyAlignment="1" applyProtection="1">
      <alignment vertical="center"/>
      <protection locked="0"/>
    </xf>
    <xf numFmtId="0" fontId="29" fillId="26" borderId="0" xfId="0" applyFont="1" applyFill="1" applyBorder="1" applyAlignment="1">
      <alignment horizontal="left" vertical="center"/>
    </xf>
    <xf numFmtId="0" fontId="29" fillId="0" borderId="0" xfId="48" applyFont="1"/>
    <xf numFmtId="0" fontId="29" fillId="28" borderId="16" xfId="49" applyFont="1" applyFill="1" applyBorder="1" applyAlignment="1" applyProtection="1">
      <alignment horizontal="right" vertical="center"/>
      <protection locked="0"/>
    </xf>
    <xf numFmtId="0" fontId="29" fillId="28" borderId="12" xfId="0" applyFont="1" applyFill="1" applyBorder="1" applyAlignment="1">
      <alignment horizontal="center" vertical="center"/>
    </xf>
    <xf numFmtId="0" fontId="29" fillId="28" borderId="17" xfId="49" applyFont="1" applyFill="1" applyBorder="1" applyAlignment="1" applyProtection="1">
      <alignment horizontal="right" vertical="center"/>
      <protection locked="0"/>
    </xf>
    <xf numFmtId="0" fontId="29" fillId="28" borderId="23" xfId="0" applyFont="1" applyFill="1" applyBorder="1" applyAlignment="1">
      <alignment horizontal="center" vertical="center" wrapText="1"/>
    </xf>
    <xf numFmtId="0" fontId="29" fillId="27" borderId="23" xfId="0" applyFont="1" applyFill="1" applyBorder="1" applyAlignment="1">
      <alignment horizontal="center" vertical="center" wrapText="1"/>
    </xf>
    <xf numFmtId="0" fontId="32" fillId="0" borderId="23" xfId="48" applyFont="1" applyBorder="1" applyAlignment="1">
      <alignment horizontal="center" vertical="center" shrinkToFit="1"/>
    </xf>
    <xf numFmtId="167" fontId="32" fillId="24" borderId="23" xfId="48" applyNumberFormat="1" applyFont="1" applyFill="1" applyBorder="1" applyAlignment="1">
      <alignment vertical="center" shrinkToFit="1"/>
    </xf>
    <xf numFmtId="0" fontId="32" fillId="31" borderId="23" xfId="0" applyNumberFormat="1" applyFont="1" applyFill="1" applyBorder="1" applyAlignment="1">
      <alignment vertical="center" shrinkToFit="1"/>
    </xf>
    <xf numFmtId="0" fontId="32" fillId="24" borderId="16" xfId="0" applyFont="1" applyFill="1" applyBorder="1" applyAlignment="1">
      <alignment vertical="center" shrinkToFit="1"/>
    </xf>
    <xf numFmtId="0" fontId="32" fillId="30" borderId="23" xfId="48" applyNumberFormat="1" applyFont="1" applyFill="1" applyBorder="1" applyAlignment="1">
      <alignment vertical="center" shrinkToFit="1"/>
    </xf>
    <xf numFmtId="0" fontId="32" fillId="31" borderId="23" xfId="48" applyNumberFormat="1" applyFont="1" applyFill="1" applyBorder="1" applyAlignment="1">
      <alignment vertical="center" shrinkToFit="1"/>
    </xf>
    <xf numFmtId="169" fontId="29" fillId="33" borderId="24" xfId="50" applyNumberFormat="1" applyFont="1" applyFill="1" applyBorder="1" applyAlignment="1" applyProtection="1">
      <alignment vertical="center" shrinkToFit="1"/>
      <protection locked="0"/>
    </xf>
    <xf numFmtId="0" fontId="32" fillId="24" borderId="17" xfId="48" applyFont="1" applyFill="1" applyBorder="1" applyAlignment="1">
      <alignment vertical="center" shrinkToFit="1"/>
    </xf>
    <xf numFmtId="49" fontId="32" fillId="24" borderId="23" xfId="48" applyNumberFormat="1" applyFont="1" applyFill="1" applyBorder="1" applyAlignment="1">
      <alignment vertical="center" shrinkToFit="1"/>
    </xf>
    <xf numFmtId="0" fontId="29" fillId="0" borderId="23" xfId="48" applyFont="1" applyBorder="1"/>
    <xf numFmtId="0" fontId="29" fillId="0" borderId="23" xfId="0" applyFont="1" applyBorder="1" applyAlignment="1">
      <alignment vertical="center"/>
    </xf>
    <xf numFmtId="49" fontId="32" fillId="24" borderId="17" xfId="48" applyNumberFormat="1" applyFont="1" applyFill="1" applyBorder="1" applyAlignment="1">
      <alignment horizontal="left" vertical="center" shrinkToFit="1"/>
    </xf>
    <xf numFmtId="0" fontId="43" fillId="24" borderId="16" xfId="48" applyFont="1" applyFill="1" applyBorder="1" applyAlignment="1">
      <alignment vertical="center" shrinkToFit="1"/>
    </xf>
    <xf numFmtId="0" fontId="34" fillId="24" borderId="16" xfId="48" applyFont="1" applyFill="1" applyBorder="1" applyAlignment="1">
      <alignment vertical="center" shrinkToFit="1"/>
    </xf>
    <xf numFmtId="0" fontId="32" fillId="30" borderId="23" xfId="48" applyNumberFormat="1" applyFont="1" applyFill="1" applyBorder="1" applyAlignment="1">
      <alignment horizontal="right" vertical="center" shrinkToFit="1"/>
    </xf>
    <xf numFmtId="0" fontId="34" fillId="24" borderId="17" xfId="48" applyFont="1" applyFill="1" applyBorder="1" applyAlignment="1">
      <alignment vertical="center" shrinkToFit="1"/>
    </xf>
    <xf numFmtId="49" fontId="32" fillId="24" borderId="23" xfId="48" applyNumberFormat="1" applyFont="1" applyFill="1" applyBorder="1" applyAlignment="1">
      <alignment shrinkToFit="1"/>
    </xf>
    <xf numFmtId="49" fontId="32" fillId="24" borderId="23" xfId="48" applyNumberFormat="1" applyFont="1" applyFill="1" applyBorder="1" applyAlignment="1">
      <alignment horizontal="left" vertical="center" shrinkToFit="1"/>
    </xf>
    <xf numFmtId="0" fontId="29" fillId="0" borderId="0" xfId="48" applyFont="1" applyAlignment="1">
      <alignment shrinkToFit="1"/>
    </xf>
    <xf numFmtId="0" fontId="44" fillId="0" borderId="11" xfId="48" applyFont="1" applyBorder="1" applyAlignment="1">
      <alignment horizontal="center" vertical="center" shrinkToFit="1"/>
    </xf>
    <xf numFmtId="0" fontId="43" fillId="0" borderId="23" xfId="48" applyFont="1" applyBorder="1" applyAlignment="1">
      <alignment horizontal="center" vertical="center" wrapText="1"/>
    </xf>
    <xf numFmtId="0" fontId="43" fillId="0" borderId="0" xfId="0" applyFont="1" applyBorder="1" applyAlignment="1">
      <alignment horizontal="center" vertical="center" wrapText="1"/>
    </xf>
    <xf numFmtId="0" fontId="32" fillId="0" borderId="0" xfId="0" applyNumberFormat="1" applyFont="1" applyBorder="1" applyAlignment="1">
      <alignment vertical="center"/>
    </xf>
    <xf numFmtId="166" fontId="32" fillId="0" borderId="0" xfId="0" applyNumberFormat="1" applyFont="1" applyBorder="1" applyAlignment="1">
      <alignment vertical="center"/>
    </xf>
    <xf numFmtId="0" fontId="29" fillId="0" borderId="0" xfId="0" applyFont="1" applyBorder="1" applyAlignment="1">
      <alignment horizontal="center" vertical="center"/>
    </xf>
    <xf numFmtId="0" fontId="29" fillId="0" borderId="23" xfId="0" applyNumberFormat="1" applyFont="1" applyBorder="1" applyAlignment="1">
      <alignment horizontal="center" vertical="center"/>
    </xf>
    <xf numFmtId="165" fontId="32" fillId="0" borderId="0" xfId="0" applyNumberFormat="1" applyFont="1" applyBorder="1" applyAlignment="1">
      <alignment vertical="center"/>
    </xf>
    <xf numFmtId="0" fontId="29" fillId="0" borderId="0" xfId="0" applyFont="1" applyBorder="1"/>
    <xf numFmtId="0" fontId="34" fillId="0" borderId="0" xfId="0" applyFont="1" applyFill="1" applyBorder="1" applyAlignment="1" applyProtection="1">
      <alignment horizontal="center" vertical="center"/>
      <protection locked="0"/>
    </xf>
    <xf numFmtId="9" fontId="32" fillId="0" borderId="0" xfId="0" applyNumberFormat="1" applyFont="1" applyBorder="1" applyAlignment="1">
      <alignment vertical="center"/>
    </xf>
    <xf numFmtId="0" fontId="29" fillId="0" borderId="0" xfId="0" applyFont="1" applyAlignment="1">
      <alignment horizontal="right"/>
    </xf>
    <xf numFmtId="0" fontId="32" fillId="0" borderId="0" xfId="0" applyFont="1" applyAlignment="1">
      <alignment horizontal="right" vertical="center"/>
    </xf>
    <xf numFmtId="0" fontId="36" fillId="0" borderId="0" xfId="0" applyFont="1" applyAlignment="1">
      <alignment vertical="center"/>
    </xf>
    <xf numFmtId="0" fontId="32" fillId="0" borderId="0" xfId="0" applyFont="1" applyFill="1" applyAlignment="1">
      <alignment horizontal="right" vertical="center"/>
    </xf>
    <xf numFmtId="0" fontId="29" fillId="0" borderId="0" xfId="0" applyFont="1" applyFill="1" applyAlignment="1">
      <alignment vertical="center"/>
    </xf>
    <xf numFmtId="0" fontId="29" fillId="0" borderId="0" xfId="0" applyFont="1" applyAlignment="1"/>
    <xf numFmtId="0" fontId="29" fillId="0" borderId="0" xfId="0" applyFont="1" applyFill="1" applyBorder="1" applyAlignment="1">
      <alignment horizontal="center" vertical="center"/>
    </xf>
    <xf numFmtId="0" fontId="34" fillId="28" borderId="18" xfId="48" applyFont="1" applyFill="1" applyBorder="1" applyAlignment="1">
      <alignment horizontal="center" vertical="center" wrapText="1"/>
    </xf>
    <xf numFmtId="0" fontId="32" fillId="29" borderId="16" xfId="48" applyFont="1" applyFill="1" applyBorder="1" applyAlignment="1">
      <alignment horizontal="center" vertical="center" wrapText="1"/>
    </xf>
    <xf numFmtId="0" fontId="29" fillId="0" borderId="0" xfId="0" applyFont="1" applyAlignment="1">
      <alignment vertical="center"/>
    </xf>
    <xf numFmtId="0" fontId="29" fillId="0" borderId="23" xfId="50" applyFont="1" applyFill="1" applyBorder="1" applyAlignment="1" applyProtection="1">
      <alignment vertical="center"/>
      <protection locked="0"/>
    </xf>
    <xf numFmtId="0" fontId="29" fillId="0" borderId="23" xfId="50" applyFont="1" applyFill="1" applyBorder="1" applyAlignment="1">
      <alignment vertical="center"/>
    </xf>
    <xf numFmtId="0" fontId="32" fillId="24" borderId="16" xfId="48" applyFont="1" applyFill="1" applyBorder="1" applyAlignment="1">
      <alignment vertical="center" shrinkToFit="1"/>
    </xf>
    <xf numFmtId="0" fontId="29" fillId="25" borderId="16" xfId="0" applyFont="1" applyFill="1" applyBorder="1" applyAlignment="1">
      <alignment horizontal="left" vertical="center" shrinkToFit="1"/>
    </xf>
    <xf numFmtId="0" fontId="29" fillId="29" borderId="0" xfId="0" applyFont="1" applyFill="1" applyAlignment="1">
      <alignment horizontal="center" vertical="center"/>
    </xf>
    <xf numFmtId="168" fontId="32" fillId="24" borderId="16" xfId="48" applyNumberFormat="1" applyFont="1" applyFill="1" applyBorder="1" applyAlignment="1">
      <alignment vertical="center" shrinkToFit="1"/>
    </xf>
    <xf numFmtId="0" fontId="32" fillId="30" borderId="16" xfId="48" applyFont="1" applyFill="1" applyBorder="1" applyAlignment="1">
      <alignment vertical="center" shrinkToFit="1"/>
    </xf>
    <xf numFmtId="0" fontId="43" fillId="27" borderId="18" xfId="48" applyFont="1" applyFill="1" applyBorder="1" applyAlignment="1">
      <alignment horizontal="center" vertical="center" wrapText="1"/>
    </xf>
    <xf numFmtId="0" fontId="32" fillId="0" borderId="0" xfId="0" applyFont="1" applyFill="1" applyAlignment="1">
      <alignment vertical="center"/>
    </xf>
    <xf numFmtId="0" fontId="47" fillId="24" borderId="16" xfId="0" applyFont="1" applyFill="1" applyBorder="1" applyAlignment="1">
      <alignment vertical="center" wrapText="1"/>
    </xf>
    <xf numFmtId="168" fontId="32" fillId="24" borderId="16" xfId="48" applyNumberFormat="1" applyFont="1" applyFill="1" applyBorder="1" applyAlignment="1">
      <alignment vertical="center" shrinkToFit="1"/>
    </xf>
    <xf numFmtId="0" fontId="32" fillId="30" borderId="16" xfId="48" applyFont="1" applyFill="1" applyBorder="1" applyAlignment="1">
      <alignment vertical="center" shrinkToFit="1"/>
    </xf>
    <xf numFmtId="0" fontId="43" fillId="27" borderId="18" xfId="48" applyFont="1" applyFill="1" applyBorder="1" applyAlignment="1">
      <alignment horizontal="center" vertical="center" wrapText="1"/>
    </xf>
    <xf numFmtId="0" fontId="32" fillId="0" borderId="0" xfId="0" applyFont="1" applyFill="1" applyAlignment="1">
      <alignment vertical="center"/>
    </xf>
    <xf numFmtId="0" fontId="28" fillId="0" borderId="0" xfId="0" applyFont="1" applyAlignment="1" applyProtection="1">
      <alignment vertical="center"/>
    </xf>
    <xf numFmtId="0" fontId="30" fillId="0" borderId="0" xfId="0" applyFont="1" applyAlignment="1" applyProtection="1">
      <alignment horizontal="center" vertical="center"/>
    </xf>
    <xf numFmtId="0" fontId="31" fillId="0" borderId="0" xfId="0" applyFont="1" applyBorder="1" applyAlignment="1" applyProtection="1">
      <alignment vertical="center"/>
    </xf>
    <xf numFmtId="0" fontId="31" fillId="26" borderId="0" xfId="0" applyFont="1" applyFill="1" applyBorder="1" applyAlignment="1" applyProtection="1">
      <alignment vertical="center"/>
    </xf>
    <xf numFmtId="0" fontId="32" fillId="0" borderId="0" xfId="0" applyFont="1" applyBorder="1" applyAlignment="1" applyProtection="1">
      <alignment vertical="center"/>
    </xf>
    <xf numFmtId="0" fontId="32" fillId="0" borderId="0" xfId="0" applyFont="1" applyBorder="1" applyAlignment="1" applyProtection="1">
      <alignment horizontal="left" vertical="center"/>
    </xf>
    <xf numFmtId="0" fontId="30" fillId="26" borderId="0" xfId="0" applyFont="1" applyFill="1" applyBorder="1" applyAlignment="1" applyProtection="1">
      <alignment horizontal="center" vertical="center"/>
    </xf>
    <xf numFmtId="0" fontId="29" fillId="26" borderId="0" xfId="0" applyFont="1" applyFill="1" applyBorder="1" applyAlignment="1" applyProtection="1">
      <alignment vertical="center"/>
    </xf>
    <xf numFmtId="0" fontId="33" fillId="0" borderId="0" xfId="0" applyFont="1" applyBorder="1" applyAlignment="1" applyProtection="1">
      <alignment horizontal="center" vertical="top"/>
    </xf>
    <xf numFmtId="0" fontId="33" fillId="26" borderId="0" xfId="0" applyFont="1" applyFill="1" applyBorder="1" applyAlignment="1" applyProtection="1">
      <alignment horizontal="center" vertical="top"/>
    </xf>
    <xf numFmtId="0" fontId="33" fillId="26" borderId="0" xfId="0" applyFont="1" applyFill="1" applyBorder="1" applyAlignment="1" applyProtection="1">
      <alignment horizontal="center" vertical="center"/>
    </xf>
    <xf numFmtId="0" fontId="29" fillId="26" borderId="0" xfId="48" applyFont="1" applyFill="1" applyBorder="1" applyAlignment="1" applyProtection="1">
      <alignment vertical="center"/>
    </xf>
    <xf numFmtId="0" fontId="32" fillId="26" borderId="0" xfId="0" applyFont="1" applyFill="1" applyBorder="1" applyAlignment="1" applyProtection="1">
      <alignment horizontal="left"/>
    </xf>
    <xf numFmtId="0" fontId="32" fillId="26" borderId="0" xfId="0" applyFont="1" applyFill="1" applyBorder="1" applyAlignment="1" applyProtection="1">
      <alignment horizontal="center"/>
    </xf>
    <xf numFmtId="0" fontId="34" fillId="26"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2" fillId="0" borderId="0" xfId="0" applyFont="1" applyFill="1" applyAlignment="1" applyProtection="1">
      <alignment vertical="center"/>
    </xf>
    <xf numFmtId="0" fontId="32" fillId="26" borderId="0" xfId="0" applyFont="1" applyFill="1" applyAlignment="1" applyProtection="1">
      <alignment vertical="center"/>
    </xf>
    <xf numFmtId="0" fontId="29" fillId="26" borderId="0" xfId="0" applyFont="1" applyFill="1" applyAlignment="1" applyProtection="1">
      <alignment vertical="center"/>
    </xf>
    <xf numFmtId="0" fontId="32" fillId="26"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32" fillId="0" borderId="0" xfId="0" applyFont="1" applyAlignment="1" applyProtection="1">
      <alignment vertical="center"/>
    </xf>
    <xf numFmtId="0" fontId="35" fillId="0" borderId="0" xfId="0" applyFont="1" applyBorder="1" applyAlignment="1" applyProtection="1">
      <alignment vertical="center"/>
    </xf>
    <xf numFmtId="0" fontId="32" fillId="0" borderId="0" xfId="0" applyFont="1" applyBorder="1" applyAlignment="1" applyProtection="1">
      <alignment horizontal="center" vertical="center"/>
    </xf>
    <xf numFmtId="0" fontId="29" fillId="0" borderId="0" xfId="0" applyFont="1" applyBorder="1" applyAlignment="1" applyProtection="1">
      <alignment horizontal="left" vertical="center"/>
    </xf>
    <xf numFmtId="0" fontId="37" fillId="0" borderId="0" xfId="0" applyFont="1" applyAlignment="1" applyProtection="1">
      <alignment vertical="center"/>
    </xf>
    <xf numFmtId="0" fontId="38" fillId="0" borderId="0" xfId="0" applyFont="1" applyAlignment="1" applyProtection="1">
      <alignment vertical="center"/>
    </xf>
    <xf numFmtId="0" fontId="39" fillId="0" borderId="0" xfId="0" applyFont="1" applyAlignment="1" applyProtection="1">
      <alignment vertical="center"/>
    </xf>
    <xf numFmtId="0" fontId="29" fillId="26" borderId="0" xfId="0" applyFont="1" applyFill="1" applyBorder="1" applyAlignment="1" applyProtection="1"/>
    <xf numFmtId="0" fontId="37" fillId="26" borderId="0" xfId="0" applyFont="1" applyFill="1" applyBorder="1" applyAlignment="1" applyProtection="1">
      <alignment vertical="center" wrapText="1"/>
    </xf>
    <xf numFmtId="0" fontId="29" fillId="26" borderId="0" xfId="0" applyFont="1" applyFill="1" applyBorder="1" applyAlignment="1" applyProtection="1">
      <alignment wrapText="1"/>
    </xf>
    <xf numFmtId="0" fontId="29" fillId="0" borderId="0" xfId="0" applyFont="1" applyAlignment="1" applyProtection="1">
      <alignment wrapText="1"/>
    </xf>
    <xf numFmtId="0" fontId="29" fillId="0" borderId="0" xfId="0" applyFont="1" applyBorder="1" applyAlignment="1" applyProtection="1"/>
    <xf numFmtId="0" fontId="29" fillId="0" borderId="0" xfId="0" applyFont="1" applyBorder="1" applyAlignment="1" applyProtection="1">
      <alignment horizontal="right" vertical="center"/>
    </xf>
    <xf numFmtId="0" fontId="29" fillId="0" borderId="0" xfId="0" applyFont="1" applyProtection="1"/>
    <xf numFmtId="0" fontId="29" fillId="26" borderId="0" xfId="0" applyFont="1" applyFill="1" applyBorder="1" applyAlignment="1" applyProtection="1">
      <alignment horizontal="left" vertical="center" shrinkToFit="1"/>
    </xf>
    <xf numFmtId="0" fontId="29" fillId="28" borderId="31" xfId="0" applyFont="1" applyFill="1" applyBorder="1" applyAlignment="1" applyProtection="1">
      <alignment horizontal="center" vertical="center"/>
    </xf>
    <xf numFmtId="49" fontId="42" fillId="26" borderId="0" xfId="0" applyNumberFormat="1" applyFont="1" applyFill="1" applyBorder="1" applyAlignment="1" applyProtection="1">
      <alignment horizontal="left" vertical="center" wrapText="1"/>
    </xf>
    <xf numFmtId="0" fontId="29" fillId="26" borderId="0" xfId="0" applyFont="1" applyFill="1" applyBorder="1" applyAlignment="1" applyProtection="1">
      <alignment horizontal="center" vertical="center"/>
    </xf>
    <xf numFmtId="0" fontId="29" fillId="0" borderId="0" xfId="50" applyFont="1" applyFill="1" applyAlignment="1" applyProtection="1">
      <alignment vertical="center"/>
    </xf>
    <xf numFmtId="0" fontId="29" fillId="32" borderId="0" xfId="50" applyFont="1" applyFill="1" applyAlignment="1" applyProtection="1">
      <alignment vertical="center"/>
    </xf>
    <xf numFmtId="0" fontId="29" fillId="36" borderId="0" xfId="50" applyFont="1" applyFill="1" applyAlignment="1" applyProtection="1">
      <alignment vertical="center"/>
    </xf>
    <xf numFmtId="0" fontId="29" fillId="0" borderId="23" xfId="50" applyFont="1" applyFill="1" applyBorder="1" applyAlignment="1" applyProtection="1">
      <alignment vertical="center"/>
    </xf>
    <xf numFmtId="0" fontId="29" fillId="26" borderId="0" xfId="0" applyFont="1" applyFill="1" applyBorder="1" applyAlignment="1" applyProtection="1">
      <alignment horizontal="left" vertical="center"/>
    </xf>
    <xf numFmtId="0" fontId="32" fillId="29" borderId="16" xfId="48" applyFont="1" applyFill="1" applyBorder="1" applyAlignment="1" applyProtection="1">
      <alignment horizontal="center" vertical="center" wrapText="1"/>
    </xf>
    <xf numFmtId="0" fontId="34" fillId="28" borderId="18" xfId="48" applyFont="1" applyFill="1" applyBorder="1" applyAlignment="1" applyProtection="1">
      <alignment horizontal="center" vertical="center" wrapText="1"/>
    </xf>
    <xf numFmtId="0" fontId="43" fillId="27" borderId="18" xfId="48" applyFont="1" applyFill="1" applyBorder="1" applyAlignment="1" applyProtection="1">
      <alignment horizontal="center" vertical="center" wrapText="1"/>
    </xf>
    <xf numFmtId="0" fontId="29" fillId="0" borderId="0" xfId="48" applyFont="1" applyProtection="1"/>
    <xf numFmtId="0" fontId="29" fillId="29" borderId="0" xfId="0" applyFont="1" applyFill="1" applyAlignment="1" applyProtection="1">
      <alignment horizontal="center" vertical="center"/>
    </xf>
    <xf numFmtId="0" fontId="29" fillId="28" borderId="16" xfId="49" applyFont="1" applyFill="1" applyBorder="1" applyAlignment="1" applyProtection="1">
      <alignment horizontal="right" vertical="center"/>
    </xf>
    <xf numFmtId="0" fontId="29" fillId="28" borderId="12" xfId="0" applyFont="1" applyFill="1" applyBorder="1" applyAlignment="1" applyProtection="1">
      <alignment horizontal="center" vertical="center"/>
    </xf>
    <xf numFmtId="0" fontId="29" fillId="28" borderId="17" xfId="49" applyFont="1" applyFill="1" applyBorder="1" applyAlignment="1" applyProtection="1">
      <alignment horizontal="right" vertical="center"/>
    </xf>
    <xf numFmtId="0" fontId="29" fillId="28" borderId="23" xfId="0" applyFont="1" applyFill="1" applyBorder="1" applyAlignment="1" applyProtection="1">
      <alignment horizontal="center" vertical="center" wrapText="1"/>
    </xf>
    <xf numFmtId="0" fontId="29" fillId="27" borderId="23" xfId="0" applyFont="1" applyFill="1" applyBorder="1" applyAlignment="1" applyProtection="1">
      <alignment horizontal="center" vertical="center" wrapText="1"/>
    </xf>
    <xf numFmtId="0" fontId="32" fillId="0" borderId="23" xfId="48" applyFont="1" applyBorder="1" applyAlignment="1" applyProtection="1">
      <alignment horizontal="center" vertical="center" shrinkToFit="1"/>
    </xf>
    <xf numFmtId="0" fontId="32" fillId="31" borderId="23" xfId="0" applyNumberFormat="1" applyFont="1" applyFill="1" applyBorder="1" applyAlignment="1" applyProtection="1">
      <alignment vertical="center" shrinkToFit="1"/>
    </xf>
    <xf numFmtId="0" fontId="32" fillId="31" borderId="23" xfId="48" applyNumberFormat="1" applyFont="1" applyFill="1" applyBorder="1" applyAlignment="1" applyProtection="1">
      <alignment vertical="center" shrinkToFit="1"/>
    </xf>
    <xf numFmtId="0" fontId="29" fillId="0" borderId="23" xfId="48" applyFont="1" applyBorder="1" applyProtection="1"/>
    <xf numFmtId="0" fontId="29" fillId="0" borderId="23" xfId="0" applyFont="1" applyBorder="1" applyAlignment="1" applyProtection="1">
      <alignment vertical="center"/>
    </xf>
    <xf numFmtId="0" fontId="29" fillId="0" borderId="0" xfId="48" applyFont="1" applyAlignment="1" applyProtection="1">
      <alignment shrinkToFit="1"/>
    </xf>
    <xf numFmtId="0" fontId="44" fillId="0" borderId="11" xfId="48" applyFont="1" applyBorder="1" applyAlignment="1" applyProtection="1">
      <alignment horizontal="center" vertical="center" shrinkToFit="1"/>
    </xf>
    <xf numFmtId="0" fontId="43" fillId="0" borderId="23" xfId="48" applyFont="1" applyBorder="1" applyAlignment="1" applyProtection="1">
      <alignment horizontal="center" vertical="center" wrapText="1"/>
    </xf>
    <xf numFmtId="0" fontId="28" fillId="0" borderId="0" xfId="0" applyFont="1" applyProtection="1"/>
    <xf numFmtId="0" fontId="43" fillId="0" borderId="0" xfId="0" applyFont="1" applyBorder="1" applyAlignment="1" applyProtection="1">
      <alignment horizontal="center" vertical="center" wrapText="1"/>
    </xf>
    <xf numFmtId="0" fontId="32" fillId="0" borderId="0" xfId="0" applyNumberFormat="1" applyFont="1" applyBorder="1" applyAlignment="1" applyProtection="1">
      <alignment vertical="center"/>
    </xf>
    <xf numFmtId="166" fontId="32" fillId="0" borderId="0" xfId="0" applyNumberFormat="1" applyFont="1" applyBorder="1" applyAlignment="1" applyProtection="1">
      <alignment vertical="center"/>
    </xf>
    <xf numFmtId="0" fontId="29" fillId="0" borderId="0" xfId="0" applyFont="1" applyBorder="1" applyAlignment="1" applyProtection="1">
      <alignment horizontal="center" vertical="center"/>
    </xf>
    <xf numFmtId="0" fontId="29" fillId="0" borderId="23" xfId="0" applyNumberFormat="1" applyFont="1" applyBorder="1" applyAlignment="1" applyProtection="1">
      <alignment horizontal="center" vertical="center"/>
    </xf>
    <xf numFmtId="165" fontId="32" fillId="0" borderId="0" xfId="0" applyNumberFormat="1" applyFont="1" applyBorder="1" applyAlignment="1" applyProtection="1">
      <alignment vertical="center"/>
    </xf>
    <xf numFmtId="0" fontId="29" fillId="0" borderId="0" xfId="0" applyFont="1" applyBorder="1" applyProtection="1"/>
    <xf numFmtId="9" fontId="32" fillId="0" borderId="0" xfId="0" applyNumberFormat="1" applyFont="1" applyBorder="1" applyAlignment="1" applyProtection="1">
      <alignment vertical="center"/>
    </xf>
    <xf numFmtId="0" fontId="29" fillId="0" borderId="0" xfId="0" applyFont="1" applyAlignment="1" applyProtection="1">
      <alignment horizontal="right"/>
    </xf>
    <xf numFmtId="0" fontId="29" fillId="0" borderId="0" xfId="0" applyFont="1" applyFill="1" applyAlignment="1" applyProtection="1">
      <alignment vertical="center"/>
    </xf>
    <xf numFmtId="0" fontId="29" fillId="0" borderId="0" xfId="0" applyFont="1" applyAlignment="1" applyProtection="1">
      <alignment vertical="center"/>
    </xf>
    <xf numFmtId="0" fontId="32" fillId="0" borderId="0" xfId="0" applyFont="1" applyAlignment="1" applyProtection="1">
      <alignment horizontal="right" vertical="center"/>
    </xf>
    <xf numFmtId="0" fontId="36" fillId="0" borderId="0" xfId="0" applyFont="1" applyAlignment="1" applyProtection="1">
      <alignment vertical="center"/>
    </xf>
    <xf numFmtId="0" fontId="32" fillId="0" borderId="0" xfId="0" applyFont="1" applyFill="1" applyAlignment="1" applyProtection="1">
      <alignment horizontal="right" vertical="center"/>
    </xf>
    <xf numFmtId="0" fontId="29" fillId="0" borderId="0" xfId="0" applyFont="1" applyAlignment="1" applyProtection="1"/>
    <xf numFmtId="0" fontId="29" fillId="0" borderId="0" xfId="0" applyFont="1" applyFill="1" applyBorder="1" applyAlignment="1" applyProtection="1">
      <alignment horizontal="center" vertical="center"/>
    </xf>
    <xf numFmtId="0" fontId="29" fillId="25" borderId="16" xfId="0" applyFont="1" applyFill="1" applyBorder="1" applyAlignment="1" applyProtection="1">
      <alignment horizontal="left" vertical="center" shrinkToFit="1"/>
      <protection locked="0"/>
    </xf>
    <xf numFmtId="0" fontId="32" fillId="24" borderId="16" xfId="48" applyFont="1" applyFill="1" applyBorder="1" applyAlignment="1" applyProtection="1">
      <alignment vertical="center" shrinkToFit="1"/>
      <protection locked="0"/>
    </xf>
    <xf numFmtId="0" fontId="32" fillId="30" borderId="16" xfId="48" applyFont="1" applyFill="1" applyBorder="1" applyAlignment="1" applyProtection="1">
      <alignment vertical="center" shrinkToFit="1"/>
      <protection locked="0"/>
    </xf>
    <xf numFmtId="168" fontId="32" fillId="24" borderId="16" xfId="48" applyNumberFormat="1" applyFont="1" applyFill="1" applyBorder="1" applyAlignment="1" applyProtection="1">
      <alignment vertical="center" shrinkToFit="1"/>
      <protection locked="0"/>
    </xf>
    <xf numFmtId="167" fontId="32" fillId="24" borderId="23" xfId="48" applyNumberFormat="1" applyFont="1" applyFill="1" applyBorder="1" applyAlignment="1" applyProtection="1">
      <alignment vertical="center" shrinkToFit="1"/>
      <protection locked="0"/>
    </xf>
    <xf numFmtId="0" fontId="32" fillId="24" borderId="16" xfId="0" applyFont="1" applyFill="1" applyBorder="1" applyAlignment="1" applyProtection="1">
      <alignment vertical="center" shrinkToFit="1"/>
      <protection locked="0"/>
    </xf>
    <xf numFmtId="0" fontId="32" fillId="30" borderId="23" xfId="48" applyNumberFormat="1" applyFont="1" applyFill="1" applyBorder="1" applyAlignment="1" applyProtection="1">
      <alignment vertical="center" shrinkToFit="1"/>
      <protection locked="0"/>
    </xf>
    <xf numFmtId="49" fontId="32" fillId="24" borderId="17" xfId="48" applyNumberFormat="1" applyFont="1" applyFill="1" applyBorder="1" applyAlignment="1" applyProtection="1">
      <alignment horizontal="left" vertical="center" shrinkToFit="1"/>
      <protection locked="0"/>
    </xf>
    <xf numFmtId="0" fontId="43" fillId="24" borderId="16" xfId="48" applyFont="1" applyFill="1" applyBorder="1" applyAlignment="1" applyProtection="1">
      <alignment vertical="center" shrinkToFit="1"/>
      <protection locked="0"/>
    </xf>
    <xf numFmtId="0" fontId="34" fillId="24" borderId="16" xfId="48" applyFont="1" applyFill="1" applyBorder="1" applyAlignment="1" applyProtection="1">
      <alignment vertical="center" shrinkToFit="1"/>
      <protection locked="0"/>
    </xf>
    <xf numFmtId="0" fontId="32" fillId="30" borderId="23" xfId="48" applyNumberFormat="1" applyFont="1" applyFill="1" applyBorder="1" applyAlignment="1" applyProtection="1">
      <alignment horizontal="right" vertical="center" shrinkToFit="1"/>
      <protection locked="0"/>
    </xf>
    <xf numFmtId="49" fontId="32" fillId="24" borderId="23" xfId="48" applyNumberFormat="1" applyFont="1" applyFill="1" applyBorder="1" applyAlignment="1" applyProtection="1">
      <alignment horizontal="left" vertical="center" shrinkToFit="1"/>
      <protection locked="0"/>
    </xf>
    <xf numFmtId="0" fontId="32" fillId="24" borderId="17" xfId="48" applyFont="1" applyFill="1" applyBorder="1" applyAlignment="1" applyProtection="1">
      <alignment vertical="center" shrinkToFit="1"/>
      <protection locked="0"/>
    </xf>
    <xf numFmtId="49" fontId="32" fillId="24" borderId="23" xfId="48" applyNumberFormat="1" applyFont="1" applyFill="1" applyBorder="1" applyAlignment="1" applyProtection="1">
      <alignment vertical="center" shrinkToFit="1"/>
      <protection locked="0"/>
    </xf>
    <xf numFmtId="0" fontId="34" fillId="24" borderId="17" xfId="48" applyFont="1" applyFill="1" applyBorder="1" applyAlignment="1" applyProtection="1">
      <alignment vertical="center" shrinkToFit="1"/>
      <protection locked="0"/>
    </xf>
    <xf numFmtId="0" fontId="28" fillId="0" borderId="0" xfId="0" applyFont="1" applyAlignment="1" applyProtection="1">
      <alignment horizontal="right" vertical="center"/>
    </xf>
    <xf numFmtId="49" fontId="32" fillId="24" borderId="23" xfId="48" applyNumberFormat="1" applyFont="1" applyFill="1" applyBorder="1" applyAlignment="1" applyProtection="1">
      <alignment shrinkToFit="1"/>
      <protection locked="0"/>
    </xf>
    <xf numFmtId="0" fontId="30" fillId="0" borderId="0" xfId="0" applyFont="1" applyAlignment="1" applyProtection="1">
      <alignment horizontal="center" vertical="center"/>
      <protection locked="0"/>
    </xf>
    <xf numFmtId="0" fontId="32" fillId="26" borderId="0" xfId="0" applyFont="1" applyFill="1" applyBorder="1" applyAlignment="1" applyProtection="1">
      <alignment vertical="center"/>
      <protection locked="0"/>
    </xf>
    <xf numFmtId="0" fontId="33" fillId="0" borderId="0" xfId="0" applyFont="1" applyBorder="1" applyAlignment="1" applyProtection="1">
      <alignment horizontal="center" vertical="top"/>
      <protection locked="0"/>
    </xf>
    <xf numFmtId="0" fontId="29" fillId="26" borderId="0" xfId="48" applyFont="1" applyFill="1" applyBorder="1" applyAlignment="1" applyProtection="1">
      <alignment vertical="center"/>
      <protection locked="0"/>
    </xf>
    <xf numFmtId="0" fontId="32" fillId="26" borderId="0" xfId="0" applyFont="1" applyFill="1" applyBorder="1" applyAlignment="1" applyProtection="1">
      <alignment horizontal="left"/>
      <protection locked="0"/>
    </xf>
    <xf numFmtId="0" fontId="29" fillId="26" borderId="0" xfId="0" applyFont="1" applyFill="1" applyBorder="1" applyAlignment="1" applyProtection="1">
      <alignment vertical="center"/>
      <protection locked="0"/>
    </xf>
    <xf numFmtId="0" fontId="34" fillId="26" borderId="0" xfId="0" applyFont="1" applyFill="1" applyBorder="1" applyAlignment="1" applyProtection="1">
      <alignment horizontal="center" vertical="center"/>
      <protection locked="0"/>
    </xf>
    <xf numFmtId="0" fontId="32" fillId="26" borderId="0" xfId="0" applyFont="1" applyFill="1" applyBorder="1" applyAlignment="1" applyProtection="1">
      <alignment horizontal="center" vertical="center"/>
      <protection locked="0"/>
    </xf>
    <xf numFmtId="0" fontId="29" fillId="26" borderId="0" xfId="0" applyFont="1" applyFill="1" applyAlignment="1" applyProtection="1">
      <alignment vertical="center"/>
      <protection locked="0"/>
    </xf>
    <xf numFmtId="0" fontId="28" fillId="0" borderId="0" xfId="0" applyFont="1" applyAlignment="1" applyProtection="1">
      <alignment vertical="center"/>
      <protection locked="0"/>
    </xf>
    <xf numFmtId="0" fontId="32" fillId="0" borderId="0" xfId="0" applyFont="1" applyAlignment="1" applyProtection="1">
      <alignment vertical="center"/>
      <protection locked="0"/>
    </xf>
    <xf numFmtId="0" fontId="29" fillId="0" borderId="0" xfId="0" applyFont="1" applyBorder="1" applyAlignment="1" applyProtection="1">
      <alignment horizontal="left" vertical="center"/>
      <protection locked="0"/>
    </xf>
    <xf numFmtId="0" fontId="29" fillId="0" borderId="0" xfId="0" applyFont="1" applyBorder="1" applyAlignment="1" applyProtection="1">
      <alignment vertical="center"/>
      <protection locked="0"/>
    </xf>
    <xf numFmtId="0" fontId="32" fillId="0" borderId="0" xfId="0" applyFont="1" applyAlignment="1" applyProtection="1">
      <alignment horizontal="left" vertical="center" wrapText="1"/>
      <protection locked="0"/>
    </xf>
    <xf numFmtId="49" fontId="34" fillId="26" borderId="0" xfId="0" applyNumberFormat="1" applyFont="1" applyFill="1" applyBorder="1" applyAlignment="1" applyProtection="1">
      <alignment horizontal="left" vertical="center" wrapText="1"/>
      <protection locked="0"/>
    </xf>
    <xf numFmtId="0" fontId="29" fillId="0" borderId="0" xfId="0" applyFont="1" applyBorder="1" applyAlignment="1" applyProtection="1">
      <alignment horizontal="right" vertical="center"/>
      <protection locked="0"/>
    </xf>
    <xf numFmtId="0" fontId="40" fillId="0" borderId="0" xfId="0" applyFont="1" applyFill="1" applyBorder="1" applyAlignment="1" applyProtection="1">
      <alignment horizontal="center" vertical="center"/>
      <protection locked="0"/>
    </xf>
    <xf numFmtId="0" fontId="29" fillId="0" borderId="0" xfId="0" applyFont="1" applyProtection="1">
      <protection locked="0"/>
    </xf>
    <xf numFmtId="0" fontId="32" fillId="0" borderId="14" xfId="0" applyFont="1" applyBorder="1" applyAlignment="1" applyProtection="1">
      <alignment vertical="center"/>
    </xf>
    <xf numFmtId="0" fontId="0" fillId="0" borderId="28" xfId="0" applyBorder="1" applyAlignment="1" applyProtection="1">
      <alignment vertical="center"/>
    </xf>
    <xf numFmtId="0" fontId="32" fillId="0" borderId="16" xfId="0" applyFont="1" applyBorder="1" applyAlignment="1" applyProtection="1">
      <alignment horizontal="center" vertical="center"/>
    </xf>
    <xf numFmtId="0" fontId="32" fillId="0" borderId="17" xfId="0" applyFont="1" applyBorder="1" applyAlignment="1" applyProtection="1">
      <alignment horizontal="center" vertical="center"/>
    </xf>
    <xf numFmtId="0" fontId="43" fillId="0" borderId="16" xfId="48" applyFont="1" applyBorder="1" applyAlignment="1" applyProtection="1">
      <alignment horizontal="center" vertical="center" wrapText="1"/>
    </xf>
    <xf numFmtId="0" fontId="43" fillId="0" borderId="12" xfId="48" applyFont="1" applyBorder="1" applyAlignment="1" applyProtection="1">
      <alignment horizontal="center" vertical="center" wrapText="1"/>
    </xf>
    <xf numFmtId="0" fontId="29" fillId="0" borderId="17" xfId="0" applyFont="1" applyBorder="1" applyAlignment="1" applyProtection="1">
      <alignment horizontal="center" vertical="center" wrapText="1"/>
    </xf>
    <xf numFmtId="0" fontId="45" fillId="35" borderId="18" xfId="48" applyNumberFormat="1" applyFont="1" applyFill="1" applyBorder="1" applyAlignment="1" applyProtection="1">
      <alignment vertical="center" shrinkToFit="1"/>
    </xf>
    <xf numFmtId="0" fontId="45" fillId="35" borderId="19" xfId="0" applyFont="1" applyFill="1" applyBorder="1" applyAlignment="1" applyProtection="1">
      <alignment vertical="center"/>
    </xf>
    <xf numFmtId="0" fontId="43" fillId="0" borderId="11" xfId="48" applyFont="1" applyBorder="1" applyAlignment="1" applyProtection="1">
      <alignment horizontal="left" vertical="center" shrinkToFit="1"/>
    </xf>
    <xf numFmtId="0" fontId="43" fillId="0" borderId="21" xfId="48" applyFont="1" applyBorder="1" applyAlignment="1" applyProtection="1">
      <alignment vertical="center" shrinkToFit="1"/>
    </xf>
    <xf numFmtId="0" fontId="29" fillId="0" borderId="11" xfId="0" applyFont="1" applyBorder="1" applyAlignment="1" applyProtection="1">
      <alignment vertical="center" shrinkToFit="1"/>
    </xf>
    <xf numFmtId="166" fontId="29" fillId="0" borderId="16" xfId="0" applyNumberFormat="1" applyFont="1" applyBorder="1" applyAlignment="1" applyProtection="1">
      <alignment horizontal="center" vertical="center"/>
    </xf>
    <xf numFmtId="166" fontId="29" fillId="0" borderId="12" xfId="0" applyNumberFormat="1" applyFont="1" applyBorder="1" applyAlignment="1" applyProtection="1">
      <alignment horizontal="center" vertical="center"/>
    </xf>
    <xf numFmtId="0" fontId="29" fillId="0" borderId="17" xfId="0" applyFont="1" applyBorder="1" applyAlignment="1" applyProtection="1">
      <alignment vertical="center"/>
    </xf>
    <xf numFmtId="168" fontId="32" fillId="24" borderId="16" xfId="48" applyNumberFormat="1" applyFont="1" applyFill="1"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32" fillId="30" borderId="16" xfId="48" applyFont="1" applyFill="1" applyBorder="1" applyAlignment="1" applyProtection="1">
      <alignment vertical="center" shrinkToFit="1"/>
      <protection locked="0"/>
    </xf>
    <xf numFmtId="0" fontId="32" fillId="30" borderId="12" xfId="48" applyFont="1" applyFill="1" applyBorder="1" applyAlignment="1" applyProtection="1">
      <alignment vertical="center" shrinkToFit="1"/>
      <protection locked="0"/>
    </xf>
    <xf numFmtId="0" fontId="29" fillId="0" borderId="17" xfId="0" applyFont="1" applyBorder="1" applyAlignment="1" applyProtection="1">
      <alignment vertical="center" shrinkToFit="1"/>
      <protection locked="0"/>
    </xf>
    <xf numFmtId="0" fontId="32" fillId="30" borderId="16" xfId="48" applyNumberFormat="1" applyFont="1" applyFill="1" applyBorder="1" applyAlignment="1" applyProtection="1">
      <alignment vertical="center" shrinkToFit="1"/>
      <protection locked="0"/>
    </xf>
    <xf numFmtId="0" fontId="32" fillId="30" borderId="12" xfId="48" applyNumberFormat="1" applyFont="1" applyFill="1" applyBorder="1" applyAlignment="1" applyProtection="1">
      <alignment vertical="center" shrinkToFit="1"/>
      <protection locked="0"/>
    </xf>
    <xf numFmtId="0" fontId="32" fillId="28" borderId="18" xfId="48" applyFont="1" applyFill="1" applyBorder="1" applyAlignment="1" applyProtection="1">
      <alignment horizontal="center" vertical="center" wrapText="1"/>
    </xf>
    <xf numFmtId="0" fontId="32" fillId="0" borderId="19" xfId="0" applyFont="1" applyBorder="1" applyAlignment="1" applyProtection="1">
      <alignment horizontal="center" vertical="center" wrapText="1"/>
    </xf>
    <xf numFmtId="0" fontId="34" fillId="28" borderId="16" xfId="48" applyFont="1" applyFill="1" applyBorder="1" applyAlignment="1" applyProtection="1">
      <alignment horizontal="center" vertical="center" wrapText="1"/>
    </xf>
    <xf numFmtId="0" fontId="34" fillId="28" borderId="12" xfId="48" applyFont="1" applyFill="1" applyBorder="1" applyAlignment="1" applyProtection="1">
      <alignment horizontal="center" vertical="center" wrapText="1"/>
    </xf>
    <xf numFmtId="0" fontId="34" fillId="0" borderId="17" xfId="0" applyFont="1" applyBorder="1" applyAlignment="1" applyProtection="1">
      <alignment horizontal="center" vertical="center" wrapText="1"/>
    </xf>
    <xf numFmtId="164" fontId="32" fillId="26" borderId="12" xfId="41" applyFont="1" applyFill="1" applyBorder="1" applyAlignment="1" applyProtection="1">
      <alignment vertical="center" shrinkToFit="1"/>
    </xf>
    <xf numFmtId="0" fontId="32" fillId="0" borderId="12" xfId="0" applyFont="1" applyBorder="1" applyAlignment="1" applyProtection="1">
      <alignment vertical="center" shrinkToFit="1"/>
    </xf>
    <xf numFmtId="49" fontId="32" fillId="25" borderId="10" xfId="0" applyNumberFormat="1" applyFont="1" applyFill="1" applyBorder="1" applyAlignment="1" applyProtection="1">
      <alignment vertical="center" shrinkToFit="1"/>
      <protection locked="0"/>
    </xf>
    <xf numFmtId="49" fontId="32" fillId="0" borderId="10" xfId="0" applyNumberFormat="1" applyFont="1" applyBorder="1" applyAlignment="1" applyProtection="1">
      <alignment vertical="center" shrinkToFit="1"/>
      <protection locked="0"/>
    </xf>
    <xf numFmtId="0" fontId="29" fillId="0" borderId="16" xfId="0" applyFont="1" applyBorder="1" applyAlignment="1" applyProtection="1">
      <alignment horizontal="center" vertical="center"/>
    </xf>
    <xf numFmtId="0" fontId="29" fillId="0" borderId="12" xfId="0" applyFont="1" applyBorder="1" applyAlignment="1" applyProtection="1">
      <alignment horizontal="center" vertical="center"/>
    </xf>
    <xf numFmtId="0" fontId="46" fillId="27" borderId="18" xfId="48" applyFont="1" applyFill="1" applyBorder="1" applyAlignment="1" applyProtection="1">
      <alignment horizontal="center" vertical="center" wrapText="1"/>
    </xf>
    <xf numFmtId="0" fontId="46" fillId="0" borderId="19" xfId="0" applyFont="1" applyBorder="1" applyAlignment="1" applyProtection="1">
      <alignment horizontal="center" vertical="center" wrapText="1"/>
    </xf>
    <xf numFmtId="0" fontId="43" fillId="27" borderId="18" xfId="48" applyFont="1" applyFill="1" applyBorder="1" applyAlignment="1" applyProtection="1">
      <alignment horizontal="center" vertical="center" wrapText="1"/>
    </xf>
    <xf numFmtId="0" fontId="43" fillId="0" borderId="19" xfId="0" applyFont="1" applyBorder="1" applyAlignment="1" applyProtection="1">
      <alignment horizontal="center" vertical="center" wrapText="1"/>
    </xf>
    <xf numFmtId="0" fontId="32" fillId="27" borderId="18" xfId="48"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32" fillId="0" borderId="18" xfId="48" applyFont="1" applyBorder="1" applyAlignment="1" applyProtection="1">
      <alignment horizontal="center" vertical="center"/>
    </xf>
    <xf numFmtId="0" fontId="29" fillId="0" borderId="19" xfId="0" applyFont="1" applyBorder="1" applyAlignment="1" applyProtection="1">
      <alignment horizontal="center" vertical="center"/>
    </xf>
    <xf numFmtId="0" fontId="32" fillId="29" borderId="18" xfId="48" applyFont="1" applyFill="1" applyBorder="1" applyAlignment="1" applyProtection="1">
      <alignment horizontal="center" vertical="center" wrapText="1"/>
    </xf>
    <xf numFmtId="0" fontId="32" fillId="28" borderId="22" xfId="48" applyFont="1" applyFill="1" applyBorder="1" applyAlignment="1" applyProtection="1">
      <alignment horizontal="center" vertical="center" wrapText="1"/>
    </xf>
    <xf numFmtId="0" fontId="32" fillId="28" borderId="11" xfId="48" applyFont="1" applyFill="1" applyBorder="1" applyAlignment="1" applyProtection="1">
      <alignment horizontal="center" vertical="center" wrapText="1"/>
    </xf>
    <xf numFmtId="0" fontId="32" fillId="0" borderId="21" xfId="0" applyFont="1" applyBorder="1" applyAlignment="1" applyProtection="1">
      <alignment horizontal="center" vertical="center" wrapText="1"/>
    </xf>
    <xf numFmtId="0" fontId="32" fillId="0" borderId="29" xfId="0" applyFont="1" applyBorder="1" applyAlignment="1" applyProtection="1">
      <alignment horizontal="center" vertical="center" wrapText="1"/>
    </xf>
    <xf numFmtId="0" fontId="32" fillId="0" borderId="10" xfId="0" applyFont="1" applyBorder="1" applyAlignment="1" applyProtection="1">
      <alignment horizontal="center" vertical="center" wrapText="1"/>
    </xf>
    <xf numFmtId="0" fontId="32" fillId="0" borderId="30" xfId="0" applyFont="1" applyBorder="1" applyAlignment="1" applyProtection="1">
      <alignment horizontal="center" vertical="center" wrapText="1"/>
    </xf>
    <xf numFmtId="0" fontId="32" fillId="0" borderId="10" xfId="0" applyFont="1" applyBorder="1" applyAlignment="1" applyProtection="1">
      <alignment vertical="center" shrinkToFit="1"/>
    </xf>
    <xf numFmtId="0" fontId="3" fillId="0" borderId="10" xfId="0" applyFont="1" applyBorder="1" applyAlignment="1" applyProtection="1">
      <alignment vertical="center" shrinkToFit="1"/>
    </xf>
    <xf numFmtId="0" fontId="32" fillId="25" borderId="10" xfId="0" applyFont="1" applyFill="1" applyBorder="1" applyAlignment="1" applyProtection="1">
      <alignment vertical="center" shrinkToFit="1"/>
      <protection locked="0"/>
    </xf>
    <xf numFmtId="0" fontId="32" fillId="0" borderId="10" xfId="0" applyFont="1" applyBorder="1" applyAlignment="1" applyProtection="1">
      <alignment vertical="center" shrinkToFit="1"/>
      <protection locked="0"/>
    </xf>
    <xf numFmtId="0" fontId="3" fillId="0" borderId="12" xfId="0" applyFont="1" applyBorder="1" applyAlignment="1" applyProtection="1">
      <alignment vertical="center" shrinkToFit="1"/>
    </xf>
    <xf numFmtId="0" fontId="32" fillId="25" borderId="12" xfId="0" applyFont="1" applyFill="1" applyBorder="1" applyAlignment="1" applyProtection="1">
      <alignment vertical="center" shrinkToFit="1"/>
      <protection locked="0"/>
    </xf>
    <xf numFmtId="0" fontId="32" fillId="0" borderId="12" xfId="0" applyFont="1" applyBorder="1" applyAlignment="1" applyProtection="1">
      <alignment vertical="center" shrinkToFit="1"/>
      <protection locked="0"/>
    </xf>
    <xf numFmtId="0" fontId="32" fillId="26" borderId="10" xfId="0" applyFont="1" applyFill="1" applyBorder="1" applyAlignment="1" applyProtection="1">
      <alignment vertical="center" shrinkToFit="1"/>
    </xf>
    <xf numFmtId="0" fontId="32" fillId="26" borderId="12" xfId="0" applyFont="1" applyFill="1" applyBorder="1" applyAlignment="1" applyProtection="1">
      <alignment vertical="center" shrinkToFit="1"/>
    </xf>
    <xf numFmtId="49" fontId="32" fillId="25" borderId="20" xfId="0" applyNumberFormat="1" applyFont="1" applyFill="1" applyBorder="1" applyAlignment="1" applyProtection="1">
      <alignment horizontal="left" vertical="center" shrinkToFit="1"/>
      <protection locked="0"/>
    </xf>
    <xf numFmtId="0" fontId="32" fillId="0" borderId="14" xfId="0" applyFont="1" applyBorder="1" applyAlignment="1" applyProtection="1">
      <alignment horizontal="left" vertical="center" shrinkToFit="1"/>
      <protection locked="0"/>
    </xf>
    <xf numFmtId="0" fontId="29" fillId="0" borderId="14" xfId="0" applyFont="1" applyBorder="1" applyAlignment="1" applyProtection="1">
      <alignment vertical="center"/>
    </xf>
    <xf numFmtId="0" fontId="29" fillId="0" borderId="28" xfId="0" applyFont="1" applyBorder="1" applyAlignment="1" applyProtection="1">
      <alignment vertical="center"/>
    </xf>
    <xf numFmtId="0" fontId="32" fillId="0" borderId="14" xfId="0" applyFont="1" applyBorder="1" applyAlignment="1" applyProtection="1">
      <alignment vertical="center" shrinkToFit="1"/>
      <protection locked="0"/>
    </xf>
    <xf numFmtId="0" fontId="32" fillId="0" borderId="14" xfId="0" applyFont="1" applyFill="1" applyBorder="1" applyAlignment="1" applyProtection="1">
      <alignment horizontal="left" vertical="center"/>
    </xf>
    <xf numFmtId="0" fontId="29" fillId="0" borderId="14" xfId="0" applyFont="1" applyBorder="1" applyAlignment="1" applyProtection="1">
      <alignment horizontal="left" vertical="center"/>
    </xf>
    <xf numFmtId="0" fontId="29" fillId="0" borderId="28" xfId="0" applyFont="1" applyBorder="1" applyAlignment="1" applyProtection="1">
      <alignment horizontal="left" vertical="center"/>
    </xf>
    <xf numFmtId="49" fontId="32" fillId="25" borderId="20" xfId="0" applyNumberFormat="1" applyFont="1" applyFill="1" applyBorder="1" applyAlignment="1" applyProtection="1">
      <alignment horizontal="right" vertical="center" shrinkToFit="1"/>
      <protection locked="0"/>
    </xf>
    <xf numFmtId="49" fontId="32" fillId="0" borderId="14" xfId="0" applyNumberFormat="1" applyFont="1" applyBorder="1" applyAlignment="1" applyProtection="1">
      <alignment horizontal="right" vertical="center" shrinkToFit="1"/>
      <protection locked="0"/>
    </xf>
    <xf numFmtId="49" fontId="32" fillId="25" borderId="14" xfId="0" applyNumberFormat="1" applyFont="1" applyFill="1" applyBorder="1" applyAlignment="1" applyProtection="1">
      <alignment horizontal="left" vertical="center" shrinkToFit="1"/>
      <protection locked="0"/>
    </xf>
    <xf numFmtId="0" fontId="29" fillId="34" borderId="25" xfId="0" applyFont="1" applyFill="1" applyBorder="1" applyAlignment="1" applyProtection="1">
      <alignment vertical="center"/>
      <protection locked="0"/>
    </xf>
    <xf numFmtId="0" fontId="29" fillId="0" borderId="26" xfId="0" applyFont="1" applyBorder="1" applyAlignment="1" applyProtection="1">
      <alignment vertical="center"/>
      <protection locked="0"/>
    </xf>
    <xf numFmtId="0" fontId="29" fillId="0" borderId="27" xfId="0" applyFont="1" applyBorder="1" applyAlignment="1" applyProtection="1">
      <alignment vertical="center"/>
      <protection locked="0"/>
    </xf>
    <xf numFmtId="0" fontId="30" fillId="0" borderId="0" xfId="0" applyFont="1" applyAlignment="1" applyProtection="1">
      <alignment horizontal="center"/>
    </xf>
    <xf numFmtId="0" fontId="0" fillId="0" borderId="0" xfId="0" applyAlignment="1" applyProtection="1">
      <alignment horizontal="center"/>
    </xf>
    <xf numFmtId="0" fontId="32" fillId="0" borderId="0" xfId="0" applyFont="1" applyFill="1" applyAlignment="1" applyProtection="1">
      <alignment vertical="center"/>
    </xf>
    <xf numFmtId="0" fontId="29" fillId="0" borderId="13" xfId="0" applyFont="1" applyBorder="1" applyAlignment="1" applyProtection="1">
      <alignment vertical="center" shrinkToFit="1"/>
      <protection locked="0"/>
    </xf>
    <xf numFmtId="0" fontId="32" fillId="26" borderId="15" xfId="0" applyFont="1" applyFill="1" applyBorder="1" applyAlignment="1" applyProtection="1">
      <alignment horizontal="left"/>
    </xf>
    <xf numFmtId="0" fontId="29" fillId="25" borderId="13" xfId="0" applyFont="1" applyFill="1" applyBorder="1" applyAlignment="1" applyProtection="1">
      <alignment vertical="center" shrinkToFit="1"/>
      <protection locked="0"/>
    </xf>
    <xf numFmtId="49" fontId="32" fillId="25" borderId="20" xfId="0" applyNumberFormat="1" applyFont="1" applyFill="1" applyBorder="1" applyAlignment="1" applyProtection="1">
      <alignment vertical="center" shrinkToFit="1"/>
      <protection locked="0"/>
    </xf>
    <xf numFmtId="49" fontId="32" fillId="25" borderId="14" xfId="0" applyNumberFormat="1" applyFont="1" applyFill="1" applyBorder="1" applyAlignment="1" applyProtection="1">
      <alignment vertical="center" shrinkToFit="1"/>
      <protection locked="0"/>
    </xf>
    <xf numFmtId="49" fontId="32" fillId="25" borderId="13" xfId="48" applyNumberFormat="1" applyFont="1" applyFill="1" applyBorder="1" applyAlignment="1" applyProtection="1">
      <alignment vertical="center" shrinkToFit="1"/>
      <protection locked="0"/>
    </xf>
    <xf numFmtId="0" fontId="0" fillId="0" borderId="13" xfId="0" applyBorder="1" applyAlignment="1" applyProtection="1">
      <alignment vertical="center" shrinkToFit="1"/>
      <protection locked="0"/>
    </xf>
    <xf numFmtId="0" fontId="29" fillId="0" borderId="14" xfId="0" applyFont="1" applyBorder="1" applyAlignment="1" applyProtection="1">
      <alignment vertical="center" shrinkToFit="1"/>
      <protection locked="0"/>
    </xf>
    <xf numFmtId="0" fontId="0" fillId="0" borderId="14" xfId="0" applyBorder="1" applyAlignment="1" applyProtection="1">
      <alignment vertical="center" shrinkToFit="1"/>
      <protection locked="0"/>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43" fillId="0" borderId="16" xfId="48" applyFont="1" applyBorder="1" applyAlignment="1">
      <alignment horizontal="center" vertical="center" wrapText="1"/>
    </xf>
    <xf numFmtId="0" fontId="43" fillId="0" borderId="12" xfId="48" applyFont="1" applyBorder="1" applyAlignment="1">
      <alignment horizontal="center" vertical="center" wrapText="1"/>
    </xf>
    <xf numFmtId="0" fontId="29" fillId="0" borderId="17" xfId="0" applyFont="1" applyBorder="1" applyAlignment="1">
      <alignment horizontal="center" vertical="center" wrapText="1"/>
    </xf>
    <xf numFmtId="0" fontId="45" fillId="35" borderId="18" xfId="48" applyNumberFormat="1" applyFont="1" applyFill="1" applyBorder="1" applyAlignment="1">
      <alignment vertical="center" shrinkToFit="1"/>
    </xf>
    <xf numFmtId="0" fontId="45" fillId="35" borderId="19" xfId="0" applyFont="1" applyFill="1" applyBorder="1" applyAlignment="1">
      <alignment vertical="center"/>
    </xf>
    <xf numFmtId="0" fontId="43" fillId="0" borderId="11" xfId="48" applyFont="1" applyBorder="1" applyAlignment="1">
      <alignment horizontal="left" vertical="center" shrinkToFit="1"/>
    </xf>
    <xf numFmtId="0" fontId="43" fillId="0" borderId="21" xfId="48" applyFont="1" applyBorder="1" applyAlignment="1">
      <alignment vertical="center" shrinkToFit="1"/>
    </xf>
    <xf numFmtId="0" fontId="29" fillId="0" borderId="11" xfId="0" applyFont="1" applyBorder="1" applyAlignment="1">
      <alignment vertical="center" shrinkToFit="1"/>
    </xf>
    <xf numFmtId="166" fontId="29" fillId="0" borderId="16" xfId="0" applyNumberFormat="1" applyFont="1" applyBorder="1" applyAlignment="1">
      <alignment horizontal="center" vertical="center"/>
    </xf>
    <xf numFmtId="166" fontId="29" fillId="0" borderId="12" xfId="0" applyNumberFormat="1" applyFont="1" applyBorder="1" applyAlignment="1">
      <alignment horizontal="center" vertical="center"/>
    </xf>
    <xf numFmtId="0" fontId="29" fillId="0" borderId="17" xfId="0" applyFont="1" applyBorder="1" applyAlignment="1">
      <alignment vertical="center"/>
    </xf>
    <xf numFmtId="168" fontId="32" fillId="24" borderId="16" xfId="48" applyNumberFormat="1" applyFont="1" applyFill="1" applyBorder="1" applyAlignment="1">
      <alignment vertical="center" shrinkToFit="1"/>
    </xf>
    <xf numFmtId="0" fontId="0" fillId="0" borderId="12" xfId="0" applyBorder="1" applyAlignment="1">
      <alignment vertical="center" shrinkToFit="1"/>
    </xf>
    <xf numFmtId="0" fontId="0" fillId="0" borderId="17" xfId="0" applyBorder="1" applyAlignment="1">
      <alignment vertical="center" shrinkToFit="1"/>
    </xf>
    <xf numFmtId="0" fontId="32" fillId="30" borderId="16" xfId="48" applyFont="1" applyFill="1" applyBorder="1" applyAlignment="1">
      <alignment vertical="center" shrinkToFit="1"/>
    </xf>
    <xf numFmtId="0" fontId="32" fillId="30" borderId="12" xfId="48" applyFont="1" applyFill="1" applyBorder="1" applyAlignment="1">
      <alignment vertical="center" shrinkToFit="1"/>
    </xf>
    <xf numFmtId="0" fontId="29" fillId="0" borderId="17" xfId="0" applyFont="1" applyBorder="1" applyAlignment="1">
      <alignment vertical="center" shrinkToFit="1"/>
    </xf>
    <xf numFmtId="0" fontId="46" fillId="27" borderId="18" xfId="48" applyFont="1" applyFill="1" applyBorder="1" applyAlignment="1">
      <alignment horizontal="center" vertical="center" wrapText="1"/>
    </xf>
    <xf numFmtId="0" fontId="46" fillId="0" borderId="19" xfId="0" applyFont="1" applyBorder="1" applyAlignment="1">
      <alignment horizontal="center" vertical="center" wrapText="1"/>
    </xf>
    <xf numFmtId="0" fontId="43" fillId="27" borderId="18" xfId="48" applyFont="1" applyFill="1" applyBorder="1" applyAlignment="1">
      <alignment horizontal="center" vertical="center" wrapText="1"/>
    </xf>
    <xf numFmtId="0" fontId="43" fillId="0" borderId="19" xfId="0" applyFont="1" applyBorder="1" applyAlignment="1">
      <alignment horizontal="center" vertical="center" wrapText="1"/>
    </xf>
    <xf numFmtId="0" fontId="32" fillId="30" borderId="16" xfId="48" applyNumberFormat="1" applyFont="1" applyFill="1" applyBorder="1" applyAlignment="1">
      <alignment vertical="center" shrinkToFit="1"/>
    </xf>
    <xf numFmtId="0" fontId="32" fillId="30" borderId="12" xfId="48" applyNumberFormat="1" applyFont="1" applyFill="1" applyBorder="1" applyAlignment="1">
      <alignment vertical="center" shrinkToFit="1"/>
    </xf>
    <xf numFmtId="0" fontId="32" fillId="28" borderId="18" xfId="48" applyFont="1" applyFill="1" applyBorder="1" applyAlignment="1">
      <alignment horizontal="center" vertical="center" wrapText="1"/>
    </xf>
    <xf numFmtId="0" fontId="32" fillId="0" borderId="19" xfId="0" applyFont="1" applyBorder="1" applyAlignment="1">
      <alignment horizontal="center" vertical="center" wrapText="1"/>
    </xf>
    <xf numFmtId="0" fontId="34" fillId="28" borderId="16" xfId="48" applyFont="1" applyFill="1" applyBorder="1" applyAlignment="1">
      <alignment horizontal="center" vertical="center" wrapText="1"/>
    </xf>
    <xf numFmtId="0" fontId="34" fillId="28" borderId="12" xfId="48" applyFont="1" applyFill="1" applyBorder="1" applyAlignment="1">
      <alignment horizontal="center" vertical="center" wrapText="1"/>
    </xf>
    <xf numFmtId="0" fontId="34" fillId="0" borderId="17" xfId="0" applyFont="1" applyBorder="1" applyAlignment="1">
      <alignment horizontal="center" vertical="center" wrapText="1"/>
    </xf>
    <xf numFmtId="0" fontId="32" fillId="27" borderId="18" xfId="48" applyFont="1" applyFill="1" applyBorder="1" applyAlignment="1">
      <alignment horizontal="center" vertical="center" wrapText="1"/>
    </xf>
    <xf numFmtId="0" fontId="29" fillId="0" borderId="16" xfId="0" applyFont="1" applyBorder="1" applyAlignment="1">
      <alignment horizontal="center" vertical="center"/>
    </xf>
    <xf numFmtId="0" fontId="29" fillId="0" borderId="12" xfId="0" applyFont="1" applyBorder="1" applyAlignment="1">
      <alignment horizontal="center" vertical="center"/>
    </xf>
    <xf numFmtId="0" fontId="32" fillId="0" borderId="18" xfId="48" applyFont="1" applyBorder="1" applyAlignment="1">
      <alignment horizontal="center" vertical="center"/>
    </xf>
    <xf numFmtId="0" fontId="29" fillId="0" borderId="19" xfId="0" applyFont="1" applyBorder="1" applyAlignment="1">
      <alignment horizontal="center" vertical="center"/>
    </xf>
    <xf numFmtId="0" fontId="32" fillId="29" borderId="18" xfId="48" applyFont="1" applyFill="1" applyBorder="1" applyAlignment="1">
      <alignment horizontal="center" vertical="center" wrapText="1"/>
    </xf>
    <xf numFmtId="0" fontId="0" fillId="0" borderId="19" xfId="0" applyBorder="1" applyAlignment="1">
      <alignment horizontal="center" vertical="center" wrapText="1"/>
    </xf>
    <xf numFmtId="0" fontId="32" fillId="28" borderId="22" xfId="48" applyFont="1" applyFill="1" applyBorder="1" applyAlignment="1">
      <alignment horizontal="center" vertical="center" wrapText="1"/>
    </xf>
    <xf numFmtId="0" fontId="32" fillId="28" borderId="11" xfId="48" applyFont="1" applyFill="1" applyBorder="1" applyAlignment="1">
      <alignment horizontal="center" vertical="center" wrapText="1"/>
    </xf>
    <xf numFmtId="0" fontId="32" fillId="0" borderId="21"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12" xfId="0" applyFont="1" applyBorder="1" applyAlignment="1">
      <alignment vertical="center" shrinkToFit="1"/>
    </xf>
    <xf numFmtId="0" fontId="3" fillId="0" borderId="12" xfId="0" applyFont="1" applyBorder="1" applyAlignment="1">
      <alignment vertical="center" shrinkToFit="1"/>
    </xf>
    <xf numFmtId="0" fontId="32" fillId="25" borderId="12" xfId="0" applyFont="1" applyFill="1" applyBorder="1" applyAlignment="1">
      <alignment vertical="center" shrinkToFit="1"/>
    </xf>
    <xf numFmtId="0" fontId="32" fillId="26" borderId="12" xfId="0" applyFont="1" applyFill="1" applyBorder="1" applyAlignment="1">
      <alignment vertical="center" shrinkToFit="1"/>
    </xf>
    <xf numFmtId="49" fontId="32" fillId="25" borderId="10" xfId="0" applyNumberFormat="1" applyFont="1" applyFill="1" applyBorder="1" applyAlignment="1">
      <alignment vertical="center" shrinkToFit="1"/>
    </xf>
    <xf numFmtId="49" fontId="32" fillId="0" borderId="10" xfId="0" applyNumberFormat="1" applyFont="1" applyBorder="1" applyAlignment="1">
      <alignment vertical="center" shrinkToFit="1"/>
    </xf>
    <xf numFmtId="0" fontId="0" fillId="0" borderId="28" xfId="0" applyBorder="1" applyAlignment="1">
      <alignment vertical="center"/>
    </xf>
    <xf numFmtId="49" fontId="32" fillId="25" borderId="20" xfId="0" applyNumberFormat="1" applyFont="1" applyFill="1" applyBorder="1" applyAlignment="1">
      <alignment horizontal="left" vertical="center" shrinkToFit="1"/>
    </xf>
    <xf numFmtId="0" fontId="32" fillId="0" borderId="14" xfId="0" applyFont="1" applyBorder="1" applyAlignment="1">
      <alignment horizontal="left" vertical="center" shrinkToFit="1"/>
    </xf>
    <xf numFmtId="0" fontId="29" fillId="0" borderId="14" xfId="0" applyFont="1" applyBorder="1" applyAlignment="1">
      <alignment horizontal="left" vertical="center"/>
    </xf>
    <xf numFmtId="0" fontId="29" fillId="0" borderId="28" xfId="0" applyFont="1" applyBorder="1" applyAlignment="1">
      <alignment horizontal="left" vertical="center"/>
    </xf>
    <xf numFmtId="49" fontId="32" fillId="25" borderId="20" xfId="0" applyNumberFormat="1" applyFont="1" applyFill="1" applyBorder="1" applyAlignment="1" applyProtection="1">
      <alignment horizontal="right" vertical="center" shrinkToFit="1"/>
    </xf>
    <xf numFmtId="49" fontId="32" fillId="0" borderId="14" xfId="0" applyNumberFormat="1" applyFont="1" applyBorder="1" applyAlignment="1">
      <alignment horizontal="right" vertical="center" shrinkToFit="1"/>
    </xf>
    <xf numFmtId="0" fontId="32" fillId="0" borderId="10" xfId="0" applyFont="1" applyBorder="1" applyAlignment="1">
      <alignment vertical="center" shrinkToFit="1"/>
    </xf>
    <xf numFmtId="0" fontId="3" fillId="0" borderId="10" xfId="0" applyFont="1" applyBorder="1" applyAlignment="1">
      <alignment vertical="center" shrinkToFit="1"/>
    </xf>
    <xf numFmtId="0" fontId="32" fillId="25" borderId="10" xfId="0" applyFont="1" applyFill="1" applyBorder="1" applyAlignment="1">
      <alignment vertical="center" shrinkToFit="1"/>
    </xf>
    <xf numFmtId="0" fontId="29" fillId="0" borderId="14" xfId="0" applyFont="1" applyBorder="1" applyAlignment="1">
      <alignment vertical="center"/>
    </xf>
    <xf numFmtId="0" fontId="29" fillId="0" borderId="28" xfId="0" applyFont="1" applyBorder="1" applyAlignment="1">
      <alignment vertical="center"/>
    </xf>
    <xf numFmtId="49" fontId="32" fillId="25" borderId="14" xfId="0" applyNumberFormat="1" applyFont="1" applyFill="1" applyBorder="1" applyAlignment="1">
      <alignment horizontal="left" vertical="center" shrinkToFit="1"/>
    </xf>
    <xf numFmtId="0" fontId="32" fillId="0" borderId="14" xfId="0" applyFont="1" applyBorder="1" applyAlignment="1">
      <alignment vertical="center" shrinkToFit="1"/>
    </xf>
    <xf numFmtId="49" fontId="32" fillId="25" borderId="14" xfId="0" applyNumberFormat="1" applyFont="1" applyFill="1" applyBorder="1" applyAlignment="1" applyProtection="1">
      <alignment vertical="center" shrinkToFit="1"/>
    </xf>
    <xf numFmtId="0" fontId="29" fillId="0" borderId="14" xfId="0" applyFont="1" applyBorder="1" applyAlignment="1">
      <alignment vertical="center" shrinkToFit="1"/>
    </xf>
    <xf numFmtId="0" fontId="0" fillId="0" borderId="14" xfId="0" applyBorder="1" applyAlignment="1">
      <alignment vertical="center" shrinkToFit="1"/>
    </xf>
    <xf numFmtId="0" fontId="29" fillId="25" borderId="13" xfId="0" applyFont="1" applyFill="1" applyBorder="1" applyAlignment="1">
      <alignment vertical="center" shrinkToFit="1"/>
    </xf>
    <xf numFmtId="49" fontId="32" fillId="25" borderId="20" xfId="0" applyNumberFormat="1" applyFont="1" applyFill="1" applyBorder="1" applyAlignment="1">
      <alignment vertical="center" shrinkToFit="1"/>
    </xf>
    <xf numFmtId="49" fontId="32" fillId="25" borderId="14" xfId="0" applyNumberFormat="1" applyFont="1" applyFill="1" applyBorder="1" applyAlignment="1">
      <alignment vertical="center" shrinkToFit="1"/>
    </xf>
    <xf numFmtId="0" fontId="29" fillId="34" borderId="25" xfId="0" applyFont="1" applyFill="1" applyBorder="1" applyAlignment="1">
      <alignment vertical="center"/>
    </xf>
    <xf numFmtId="0" fontId="29" fillId="0" borderId="26" xfId="0" applyFont="1" applyBorder="1" applyAlignment="1">
      <alignment vertical="center"/>
    </xf>
    <xf numFmtId="0" fontId="29" fillId="0" borderId="27" xfId="0" applyFont="1" applyBorder="1" applyAlignment="1">
      <alignment vertical="center"/>
    </xf>
    <xf numFmtId="0" fontId="30" fillId="0" borderId="0" xfId="0" applyFont="1" applyAlignment="1">
      <alignment horizontal="center"/>
    </xf>
    <xf numFmtId="0" fontId="0" fillId="0" borderId="0" xfId="0" applyAlignment="1">
      <alignment horizontal="center"/>
    </xf>
    <xf numFmtId="0" fontId="32" fillId="0" borderId="0" xfId="0" applyFont="1" applyFill="1" applyAlignment="1">
      <alignment vertical="center"/>
    </xf>
    <xf numFmtId="0" fontId="29" fillId="0" borderId="13" xfId="0" applyFont="1" applyBorder="1" applyAlignment="1">
      <alignment vertical="center" shrinkToFit="1"/>
    </xf>
    <xf numFmtId="49" fontId="32" fillId="25" borderId="13" xfId="48" applyNumberFormat="1" applyFont="1" applyFill="1" applyBorder="1" applyAlignment="1" applyProtection="1">
      <alignment vertical="center" shrinkToFit="1"/>
    </xf>
    <xf numFmtId="0" fontId="0" fillId="0" borderId="13" xfId="0" applyBorder="1" applyAlignment="1">
      <alignment vertical="center" shrinkToFit="1"/>
    </xf>
    <xf numFmtId="0" fontId="32" fillId="26" borderId="15" xfId="0" applyFont="1" applyFill="1" applyBorder="1" applyAlignment="1">
      <alignment horizontal="left"/>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標準 2" xfId="43"/>
    <cellStyle name="標準 2 2" xfId="48"/>
    <cellStyle name="標準 3" xfId="44"/>
    <cellStyle name="標準 4" xfId="45"/>
    <cellStyle name="標準 5" xfId="47"/>
    <cellStyle name="標準_08依頼書_成分表 例" xfId="49"/>
    <cellStyle name="標準_成分表 例" xfId="50"/>
    <cellStyle name="良い" xfId="46" builtinId="26" customBuiltin="1"/>
  </cellStyles>
  <dxfs count="5">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s>
  <tableStyles count="0" defaultTableStyle="TableStyleMedium2" defaultPivotStyle="PivotStyleLight16"/>
  <colors>
    <mruColors>
      <color rgb="FFCCFFCC"/>
      <color rgb="FF99FFCC"/>
      <color rgb="FFFFFFCC"/>
      <color rgb="FF0000FF"/>
      <color rgb="FF333399"/>
      <color rgb="FF66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888999</xdr:colOff>
      <xdr:row>23</xdr:row>
      <xdr:rowOff>204611</xdr:rowOff>
    </xdr:from>
    <xdr:to>
      <xdr:col>8</xdr:col>
      <xdr:colOff>616857</xdr:colOff>
      <xdr:row>108</xdr:row>
      <xdr:rowOff>54428</xdr:rowOff>
    </xdr:to>
    <xdr:sp macro="" textlink="">
      <xdr:nvSpPr>
        <xdr:cNvPr id="67" name="Line 23"/>
        <xdr:cNvSpPr>
          <a:spLocks noChangeShapeType="1"/>
        </xdr:cNvSpPr>
      </xdr:nvSpPr>
      <xdr:spPr bwMode="auto">
        <a:xfrm flipH="1" flipV="1">
          <a:off x="2803070" y="4740325"/>
          <a:ext cx="2911930" cy="6735032"/>
        </a:xfrm>
        <a:prstGeom prst="line">
          <a:avLst/>
        </a:prstGeom>
        <a:noFill/>
        <a:ln w="15875">
          <a:solidFill>
            <a:srgbClr val="FF6600"/>
          </a:solidFill>
          <a:round/>
          <a:headEnd/>
          <a:tailEnd type="triangle" w="med" len="med"/>
        </a:ln>
      </xdr:spPr>
    </xdr:sp>
    <xdr:clientData/>
  </xdr:twoCellAnchor>
  <xdr:twoCellAnchor>
    <xdr:from>
      <xdr:col>0</xdr:col>
      <xdr:colOff>136978</xdr:colOff>
      <xdr:row>8</xdr:row>
      <xdr:rowOff>238579</xdr:rowOff>
    </xdr:from>
    <xdr:to>
      <xdr:col>8</xdr:col>
      <xdr:colOff>45356</xdr:colOff>
      <xdr:row>11</xdr:row>
      <xdr:rowOff>40368</xdr:rowOff>
    </xdr:to>
    <xdr:sp macro="" textlink="">
      <xdr:nvSpPr>
        <xdr:cNvPr id="32" name="AutoShape 3"/>
        <xdr:cNvSpPr>
          <a:spLocks noChangeArrowheads="1"/>
        </xdr:cNvSpPr>
      </xdr:nvSpPr>
      <xdr:spPr bwMode="auto">
        <a:xfrm>
          <a:off x="136978" y="1454150"/>
          <a:ext cx="5006521" cy="536575"/>
        </a:xfrm>
        <a:prstGeom prst="roundRect">
          <a:avLst>
            <a:gd name="adj" fmla="val 16667"/>
          </a:avLst>
        </a:prstGeom>
        <a:noFill/>
        <a:ln w="15875" algn="ctr">
          <a:solidFill>
            <a:srgbClr val="FF6600"/>
          </a:solidFill>
          <a:round/>
          <a:headEnd/>
          <a:tailEnd/>
        </a:ln>
      </xdr:spPr>
    </xdr:sp>
    <xdr:clientData/>
  </xdr:twoCellAnchor>
  <xdr:twoCellAnchor>
    <xdr:from>
      <xdr:col>8</xdr:col>
      <xdr:colOff>36283</xdr:colOff>
      <xdr:row>7</xdr:row>
      <xdr:rowOff>154215</xdr:rowOff>
    </xdr:from>
    <xdr:to>
      <xdr:col>10</xdr:col>
      <xdr:colOff>18142</xdr:colOff>
      <xdr:row>9</xdr:row>
      <xdr:rowOff>54430</xdr:rowOff>
    </xdr:to>
    <xdr:sp macro="" textlink="">
      <xdr:nvSpPr>
        <xdr:cNvPr id="33" name="Line 23"/>
        <xdr:cNvSpPr>
          <a:spLocks noChangeShapeType="1"/>
        </xdr:cNvSpPr>
      </xdr:nvSpPr>
      <xdr:spPr bwMode="auto">
        <a:xfrm flipH="1">
          <a:off x="5134426" y="1542144"/>
          <a:ext cx="1115787" cy="390072"/>
        </a:xfrm>
        <a:prstGeom prst="line">
          <a:avLst/>
        </a:prstGeom>
        <a:noFill/>
        <a:ln w="15875">
          <a:solidFill>
            <a:srgbClr val="FF6600"/>
          </a:solidFill>
          <a:round/>
          <a:headEnd/>
          <a:tailEnd type="triangle" w="med" len="med"/>
        </a:ln>
      </xdr:spPr>
    </xdr:sp>
    <xdr:clientData/>
  </xdr:twoCellAnchor>
  <xdr:twoCellAnchor>
    <xdr:from>
      <xdr:col>13</xdr:col>
      <xdr:colOff>81644</xdr:colOff>
      <xdr:row>15</xdr:row>
      <xdr:rowOff>201838</xdr:rowOff>
    </xdr:from>
    <xdr:to>
      <xdr:col>17</xdr:col>
      <xdr:colOff>103870</xdr:colOff>
      <xdr:row>17</xdr:row>
      <xdr:rowOff>18143</xdr:rowOff>
    </xdr:to>
    <xdr:sp macro="" textlink="">
      <xdr:nvSpPr>
        <xdr:cNvPr id="34" name="AutoShape 3"/>
        <xdr:cNvSpPr>
          <a:spLocks noChangeArrowheads="1"/>
        </xdr:cNvSpPr>
      </xdr:nvSpPr>
      <xdr:spPr bwMode="auto">
        <a:xfrm>
          <a:off x="7275287" y="2959552"/>
          <a:ext cx="3414940" cy="306162"/>
        </a:xfrm>
        <a:prstGeom prst="roundRect">
          <a:avLst>
            <a:gd name="adj" fmla="val 16667"/>
          </a:avLst>
        </a:prstGeom>
        <a:noFill/>
        <a:ln w="15875" algn="ctr">
          <a:solidFill>
            <a:schemeClr val="accent6">
              <a:lumMod val="75000"/>
            </a:schemeClr>
          </a:solidFill>
          <a:round/>
          <a:headEnd/>
          <a:tailEnd/>
        </a:ln>
      </xdr:spPr>
    </xdr:sp>
    <xdr:clientData/>
  </xdr:twoCellAnchor>
  <xdr:oneCellAnchor>
    <xdr:from>
      <xdr:col>18</xdr:col>
      <xdr:colOff>175077</xdr:colOff>
      <xdr:row>12</xdr:row>
      <xdr:rowOff>90260</xdr:rowOff>
    </xdr:from>
    <xdr:ext cx="2457450" cy="352425"/>
    <xdr:sp macro="" textlink="">
      <xdr:nvSpPr>
        <xdr:cNvPr id="35" name="AutoShape 24"/>
        <xdr:cNvSpPr>
          <a:spLocks noChangeArrowheads="1"/>
        </xdr:cNvSpPr>
      </xdr:nvSpPr>
      <xdr:spPr bwMode="auto">
        <a:xfrm>
          <a:off x="11596006" y="2167617"/>
          <a:ext cx="2457450" cy="352425"/>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ja-JP" altLang="en-US" sz="1100" b="0" i="0" baseline="0">
              <a:effectLst/>
              <a:latin typeface="+mn-lt"/>
              <a:ea typeface="+mn-ea"/>
              <a:cs typeface="+mn-cs"/>
            </a:rPr>
            <a:t>お</a:t>
          </a:r>
          <a:r>
            <a:rPr lang="ja-JP" altLang="ja-JP" sz="1100" b="0" i="0" baseline="0">
              <a:effectLst/>
              <a:latin typeface="+mn-lt"/>
              <a:ea typeface="+mn-ea"/>
              <a:cs typeface="+mn-cs"/>
            </a:rPr>
            <a:t>取引先様にて記入</a:t>
          </a:r>
          <a:r>
            <a:rPr lang="ja-JP" altLang="en-US" sz="1100" b="0" i="0" baseline="0">
              <a:effectLst/>
              <a:latin typeface="+mn-lt"/>
              <a:ea typeface="+mn-ea"/>
              <a:cs typeface="+mn-cs"/>
            </a:rPr>
            <a:t>をお願いします。</a:t>
          </a:r>
          <a:endParaRPr lang="ja-JP" altLang="ja-JP">
            <a:effectLst/>
          </a:endParaRPr>
        </a:p>
      </xdr:txBody>
    </xdr:sp>
    <xdr:clientData/>
  </xdr:oneCellAnchor>
  <xdr:twoCellAnchor>
    <xdr:from>
      <xdr:col>17</xdr:col>
      <xdr:colOff>217713</xdr:colOff>
      <xdr:row>13</xdr:row>
      <xdr:rowOff>23132</xdr:rowOff>
    </xdr:from>
    <xdr:to>
      <xdr:col>18</xdr:col>
      <xdr:colOff>175076</xdr:colOff>
      <xdr:row>13</xdr:row>
      <xdr:rowOff>172357</xdr:rowOff>
    </xdr:to>
    <xdr:sp macro="" textlink="">
      <xdr:nvSpPr>
        <xdr:cNvPr id="36" name="Line 23"/>
        <xdr:cNvSpPr>
          <a:spLocks noChangeShapeType="1"/>
        </xdr:cNvSpPr>
      </xdr:nvSpPr>
      <xdr:spPr bwMode="auto">
        <a:xfrm flipH="1">
          <a:off x="10804070" y="2290989"/>
          <a:ext cx="791935" cy="149225"/>
        </a:xfrm>
        <a:prstGeom prst="line">
          <a:avLst/>
        </a:prstGeom>
        <a:noFill/>
        <a:ln w="15875">
          <a:solidFill>
            <a:srgbClr val="FF6600"/>
          </a:solidFill>
          <a:round/>
          <a:headEnd/>
          <a:tailEnd type="triangle" w="med" len="med"/>
        </a:ln>
      </xdr:spPr>
    </xdr:sp>
    <xdr:clientData/>
  </xdr:twoCellAnchor>
  <xdr:oneCellAnchor>
    <xdr:from>
      <xdr:col>17</xdr:col>
      <xdr:colOff>555626</xdr:colOff>
      <xdr:row>15</xdr:row>
      <xdr:rowOff>119288</xdr:rowOff>
    </xdr:from>
    <xdr:ext cx="3695700" cy="333375"/>
    <xdr:sp macro="" textlink="">
      <xdr:nvSpPr>
        <xdr:cNvPr id="37" name="AutoShape 24"/>
        <xdr:cNvSpPr>
          <a:spLocks noChangeArrowheads="1"/>
        </xdr:cNvSpPr>
      </xdr:nvSpPr>
      <xdr:spPr bwMode="auto">
        <a:xfrm>
          <a:off x="11141983" y="3294288"/>
          <a:ext cx="3695700" cy="333375"/>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ja-JP" altLang="ja-JP" sz="1100" b="0" i="0" baseline="0">
              <a:effectLst/>
              <a:latin typeface="+mn-lt"/>
              <a:ea typeface="+mn-ea"/>
              <a:cs typeface="+mn-cs"/>
            </a:rPr>
            <a:t>捺印</a:t>
          </a:r>
          <a:r>
            <a:rPr lang="ja-JP" altLang="en-US" sz="1100" b="0" i="0" baseline="0">
              <a:effectLst/>
              <a:latin typeface="+mn-lt"/>
              <a:ea typeface="+mn-ea"/>
              <a:cs typeface="+mn-cs"/>
            </a:rPr>
            <a:t>（社印又は責任者の印）</a:t>
          </a:r>
          <a:r>
            <a:rPr lang="ja-JP" altLang="ja-JP" sz="1100" b="0" i="0" baseline="0">
              <a:effectLst/>
              <a:latin typeface="+mn-lt"/>
              <a:ea typeface="+mn-ea"/>
              <a:cs typeface="+mn-cs"/>
            </a:rPr>
            <a:t>またはサインをお願い致します。</a:t>
          </a:r>
          <a:endParaRPr lang="ja-JP" altLang="ja-JP">
            <a:effectLst/>
          </a:endParaRPr>
        </a:p>
      </xdr:txBody>
    </xdr:sp>
    <xdr:clientData/>
  </xdr:oneCellAnchor>
  <xdr:twoCellAnchor>
    <xdr:from>
      <xdr:col>0</xdr:col>
      <xdr:colOff>127191</xdr:colOff>
      <xdr:row>18</xdr:row>
      <xdr:rowOff>153761</xdr:rowOff>
    </xdr:from>
    <xdr:to>
      <xdr:col>17</xdr:col>
      <xdr:colOff>127000</xdr:colOff>
      <xdr:row>20</xdr:row>
      <xdr:rowOff>0</xdr:rowOff>
    </xdr:to>
    <xdr:sp macro="" textlink="">
      <xdr:nvSpPr>
        <xdr:cNvPr id="38" name="AutoShape 3"/>
        <xdr:cNvSpPr>
          <a:spLocks noChangeArrowheads="1"/>
        </xdr:cNvSpPr>
      </xdr:nvSpPr>
      <xdr:spPr bwMode="auto">
        <a:xfrm>
          <a:off x="127191" y="3528332"/>
          <a:ext cx="10586166" cy="272597"/>
        </a:xfrm>
        <a:prstGeom prst="roundRect">
          <a:avLst>
            <a:gd name="adj" fmla="val 16667"/>
          </a:avLst>
        </a:prstGeom>
        <a:noFill/>
        <a:ln w="15875" algn="ctr">
          <a:solidFill>
            <a:srgbClr val="FF6600"/>
          </a:solidFill>
          <a:round/>
          <a:headEnd/>
          <a:tailEnd/>
        </a:ln>
      </xdr:spPr>
    </xdr:sp>
    <xdr:clientData/>
  </xdr:twoCellAnchor>
  <xdr:twoCellAnchor>
    <xdr:from>
      <xdr:col>17</xdr:col>
      <xdr:colOff>145143</xdr:colOff>
      <xdr:row>19</xdr:row>
      <xdr:rowOff>63500</xdr:rowOff>
    </xdr:from>
    <xdr:to>
      <xdr:col>17</xdr:col>
      <xdr:colOff>571499</xdr:colOff>
      <xdr:row>19</xdr:row>
      <xdr:rowOff>81643</xdr:rowOff>
    </xdr:to>
    <xdr:sp macro="" textlink="">
      <xdr:nvSpPr>
        <xdr:cNvPr id="40" name="Line 23"/>
        <xdr:cNvSpPr>
          <a:spLocks noChangeShapeType="1"/>
        </xdr:cNvSpPr>
      </xdr:nvSpPr>
      <xdr:spPr bwMode="auto">
        <a:xfrm flipH="1">
          <a:off x="10731500" y="3619500"/>
          <a:ext cx="426356" cy="18143"/>
        </a:xfrm>
        <a:prstGeom prst="line">
          <a:avLst/>
        </a:prstGeom>
        <a:noFill/>
        <a:ln w="15875">
          <a:solidFill>
            <a:srgbClr val="FF6600"/>
          </a:solidFill>
          <a:round/>
          <a:headEnd/>
          <a:tailEnd type="triangle" w="med" len="med"/>
        </a:ln>
      </xdr:spPr>
    </xdr:sp>
    <xdr:clientData/>
  </xdr:twoCellAnchor>
  <xdr:twoCellAnchor>
    <xdr:from>
      <xdr:col>0</xdr:col>
      <xdr:colOff>107952</xdr:colOff>
      <xdr:row>20</xdr:row>
      <xdr:rowOff>28575</xdr:rowOff>
    </xdr:from>
    <xdr:to>
      <xdr:col>17</xdr:col>
      <xdr:colOff>117929</xdr:colOff>
      <xdr:row>22</xdr:row>
      <xdr:rowOff>54430</xdr:rowOff>
    </xdr:to>
    <xdr:sp macro="" textlink="">
      <xdr:nvSpPr>
        <xdr:cNvPr id="41" name="AutoShape 3"/>
        <xdr:cNvSpPr>
          <a:spLocks noChangeArrowheads="1"/>
        </xdr:cNvSpPr>
      </xdr:nvSpPr>
      <xdr:spPr bwMode="auto">
        <a:xfrm>
          <a:off x="107952" y="3829504"/>
          <a:ext cx="10596334" cy="515712"/>
        </a:xfrm>
        <a:prstGeom prst="roundRect">
          <a:avLst>
            <a:gd name="adj" fmla="val 16667"/>
          </a:avLst>
        </a:prstGeom>
        <a:noFill/>
        <a:ln w="15875" algn="ctr">
          <a:solidFill>
            <a:schemeClr val="accent6">
              <a:lumMod val="75000"/>
            </a:schemeClr>
          </a:solidFill>
          <a:round/>
          <a:headEnd/>
          <a:tailEnd/>
        </a:ln>
      </xdr:spPr>
    </xdr:sp>
    <xdr:clientData/>
  </xdr:twoCellAnchor>
  <xdr:oneCellAnchor>
    <xdr:from>
      <xdr:col>4</xdr:col>
      <xdr:colOff>272144</xdr:colOff>
      <xdr:row>6</xdr:row>
      <xdr:rowOff>39460</xdr:rowOff>
    </xdr:from>
    <xdr:ext cx="5442856" cy="476250"/>
    <xdr:sp macro="" textlink="">
      <xdr:nvSpPr>
        <xdr:cNvPr id="43" name="AutoShape 9"/>
        <xdr:cNvSpPr>
          <a:spLocks noChangeArrowheads="1"/>
        </xdr:cNvSpPr>
      </xdr:nvSpPr>
      <xdr:spPr bwMode="auto">
        <a:xfrm>
          <a:off x="3211287" y="1073603"/>
          <a:ext cx="5442856" cy="476250"/>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square" lIns="18288" tIns="18288" rIns="0" bIns="0" anchor="t" upright="1">
          <a:noAutofit/>
        </a:bodyPr>
        <a:lstStyle/>
        <a:p>
          <a:pPr rtl="0"/>
          <a:r>
            <a:rPr lang="ja-JP" altLang="ja-JP" sz="1100" b="0" i="0" baseline="0">
              <a:effectLst/>
              <a:latin typeface="+mn-lt"/>
              <a:ea typeface="+mn-ea"/>
              <a:cs typeface="+mn-cs"/>
            </a:rPr>
            <a:t>上段：お取引に応じ、</a:t>
          </a:r>
          <a:r>
            <a:rPr lang="ja-JP" altLang="en-US" sz="1100" b="0" i="0" baseline="0">
              <a:effectLst/>
              <a:latin typeface="+mn-lt"/>
              <a:ea typeface="+mn-ea"/>
              <a:cs typeface="+mn-cs"/>
            </a:rPr>
            <a:t>ミネベアミツミ株式会社かミツミ電機株式会社</a:t>
          </a:r>
          <a:r>
            <a:rPr lang="ja-JP" altLang="ja-JP" sz="1100" b="0" i="0" baseline="0">
              <a:effectLst/>
              <a:latin typeface="+mn-lt"/>
              <a:ea typeface="+mn-ea"/>
              <a:cs typeface="+mn-cs"/>
            </a:rPr>
            <a:t>を記入ください。</a:t>
          </a:r>
          <a:endParaRPr lang="ja-JP" altLang="ja-JP">
            <a:effectLst/>
          </a:endParaRPr>
        </a:p>
        <a:p>
          <a:pPr rtl="0"/>
          <a:r>
            <a:rPr lang="ja-JP" altLang="ja-JP" sz="1100" b="0" i="0" baseline="0">
              <a:effectLst/>
              <a:latin typeface="+mn-lt"/>
              <a:ea typeface="+mn-ea"/>
              <a:cs typeface="+mn-cs"/>
            </a:rPr>
            <a:t>下段：</a:t>
          </a:r>
          <a:r>
            <a:rPr lang="ja-JP" altLang="en-US" sz="1100" b="0" i="0" baseline="0">
              <a:effectLst/>
              <a:latin typeface="+mn-lt"/>
              <a:ea typeface="+mn-ea"/>
              <a:cs typeface="+mn-cs"/>
            </a:rPr>
            <a:t>ミネベアミツミ株式会社またはミツミ電機株式会社</a:t>
          </a:r>
          <a:r>
            <a:rPr lang="ja-JP" altLang="ja-JP" sz="1100" b="0" i="0" baseline="0">
              <a:effectLst/>
              <a:latin typeface="+mn-lt"/>
              <a:ea typeface="+mn-ea"/>
              <a:cs typeface="+mn-cs"/>
            </a:rPr>
            <a:t>の事業本部 、事業部を記入ください。　</a:t>
          </a:r>
          <a:endParaRPr lang="ja-JP" altLang="ja-JP">
            <a:effectLst/>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0</xdr:col>
      <xdr:colOff>99785</xdr:colOff>
      <xdr:row>3</xdr:row>
      <xdr:rowOff>163286</xdr:rowOff>
    </xdr:from>
    <xdr:to>
      <xdr:col>11</xdr:col>
      <xdr:colOff>18143</xdr:colOff>
      <xdr:row>5</xdr:row>
      <xdr:rowOff>63500</xdr:rowOff>
    </xdr:to>
    <xdr:sp macro="" textlink="">
      <xdr:nvSpPr>
        <xdr:cNvPr id="44" name="AutoShape 3"/>
        <xdr:cNvSpPr>
          <a:spLocks noChangeArrowheads="1"/>
        </xdr:cNvSpPr>
      </xdr:nvSpPr>
      <xdr:spPr bwMode="auto">
        <a:xfrm>
          <a:off x="99785" y="244929"/>
          <a:ext cx="6213929" cy="335642"/>
        </a:xfrm>
        <a:prstGeom prst="roundRect">
          <a:avLst>
            <a:gd name="adj" fmla="val 16667"/>
          </a:avLst>
        </a:prstGeom>
        <a:noFill/>
        <a:ln w="15875" algn="ctr">
          <a:solidFill>
            <a:srgbClr val="FF6600"/>
          </a:solidFill>
          <a:round/>
          <a:headEnd/>
          <a:tailEnd/>
        </a:ln>
      </xdr:spPr>
    </xdr:sp>
    <xdr:clientData/>
  </xdr:twoCellAnchor>
  <xdr:twoCellAnchor>
    <xdr:from>
      <xdr:col>11</xdr:col>
      <xdr:colOff>45358</xdr:colOff>
      <xdr:row>4</xdr:row>
      <xdr:rowOff>86633</xdr:rowOff>
    </xdr:from>
    <xdr:to>
      <xdr:col>13</xdr:col>
      <xdr:colOff>160564</xdr:colOff>
      <xdr:row>4</xdr:row>
      <xdr:rowOff>99788</xdr:rowOff>
    </xdr:to>
    <xdr:sp macro="" textlink="">
      <xdr:nvSpPr>
        <xdr:cNvPr id="45" name="Line 23"/>
        <xdr:cNvSpPr>
          <a:spLocks noChangeShapeType="1"/>
        </xdr:cNvSpPr>
      </xdr:nvSpPr>
      <xdr:spPr bwMode="auto">
        <a:xfrm flipH="1">
          <a:off x="6340929" y="385990"/>
          <a:ext cx="1013278" cy="13155"/>
        </a:xfrm>
        <a:prstGeom prst="line">
          <a:avLst/>
        </a:prstGeom>
        <a:noFill/>
        <a:ln w="15875">
          <a:solidFill>
            <a:srgbClr val="FF6600"/>
          </a:solidFill>
          <a:round/>
          <a:headEnd/>
          <a:tailEnd type="triangle" w="med" len="med"/>
        </a:ln>
      </xdr:spPr>
    </xdr:sp>
    <xdr:clientData/>
  </xdr:twoCellAnchor>
  <xdr:oneCellAnchor>
    <xdr:from>
      <xdr:col>13</xdr:col>
      <xdr:colOff>167369</xdr:colOff>
      <xdr:row>3</xdr:row>
      <xdr:rowOff>172360</xdr:rowOff>
    </xdr:from>
    <xdr:ext cx="1546224" cy="238125"/>
    <xdr:sp macro="" textlink="">
      <xdr:nvSpPr>
        <xdr:cNvPr id="46" name="AutoShape 9"/>
        <xdr:cNvSpPr>
          <a:spLocks noChangeArrowheads="1"/>
        </xdr:cNvSpPr>
      </xdr:nvSpPr>
      <xdr:spPr bwMode="auto">
        <a:xfrm>
          <a:off x="7361012" y="254003"/>
          <a:ext cx="1546224" cy="238125"/>
        </a:xfrm>
        <a:prstGeom prst="roundRect">
          <a:avLst>
            <a:gd name="adj" fmla="val 16667"/>
          </a:avLst>
        </a:prstGeom>
        <a:solidFill>
          <a:schemeClr val="accent5">
            <a:lumMod val="40000"/>
            <a:lumOff val="60000"/>
          </a:schemeClr>
        </a:solidFill>
        <a:ln w="15875" algn="ctr">
          <a:solidFill>
            <a:srgbClr val="FF6600"/>
          </a:solidFill>
          <a:round/>
          <a:headEnd/>
          <a:tailEnd/>
        </a:ln>
        <a:effectLst/>
      </xdr:spPr>
      <xdr:txBody>
        <a:bodyPr wrap="square" lIns="18288" tIns="18288" rIns="0" bIns="0" anchor="t" upright="1">
          <a:noAutofit/>
        </a:bodyPr>
        <a:lstStyle/>
        <a:p>
          <a:pPr algn="l" rtl="0">
            <a:defRPr sz="1000"/>
          </a:pPr>
          <a:r>
            <a:rPr lang="ja-JP" altLang="en-US" sz="1100" b="0" i="0" u="none" strike="noStrike" baseline="0">
              <a:solidFill>
                <a:srgbClr val="000000"/>
              </a:solidFill>
              <a:latin typeface="ＭＳ Ｐゴシック"/>
              <a:ea typeface="ＭＳ Ｐゴシック"/>
            </a:rPr>
            <a:t>言語を選択ください</a:t>
          </a:r>
        </a:p>
      </xdr:txBody>
    </xdr:sp>
    <xdr:clientData/>
  </xdr:oneCellAnchor>
  <xdr:twoCellAnchor>
    <xdr:from>
      <xdr:col>0</xdr:col>
      <xdr:colOff>27212</xdr:colOff>
      <xdr:row>12</xdr:row>
      <xdr:rowOff>154213</xdr:rowOff>
    </xdr:from>
    <xdr:to>
      <xdr:col>17</xdr:col>
      <xdr:colOff>163284</xdr:colOff>
      <xdr:row>17</xdr:row>
      <xdr:rowOff>76198</xdr:rowOff>
    </xdr:to>
    <xdr:sp macro="" textlink="">
      <xdr:nvSpPr>
        <xdr:cNvPr id="48" name="AutoShape 3"/>
        <xdr:cNvSpPr>
          <a:spLocks noChangeArrowheads="1"/>
        </xdr:cNvSpPr>
      </xdr:nvSpPr>
      <xdr:spPr bwMode="auto">
        <a:xfrm>
          <a:off x="27212" y="2231570"/>
          <a:ext cx="10722429" cy="1092199"/>
        </a:xfrm>
        <a:prstGeom prst="roundRect">
          <a:avLst>
            <a:gd name="adj" fmla="val 16667"/>
          </a:avLst>
        </a:prstGeom>
        <a:noFill/>
        <a:ln w="15875" algn="ctr">
          <a:solidFill>
            <a:srgbClr val="FF6600"/>
          </a:solidFill>
          <a:round/>
          <a:headEnd/>
          <a:tailEnd/>
        </a:ln>
      </xdr:spPr>
    </xdr:sp>
    <xdr:clientData/>
  </xdr:twoCellAnchor>
  <xdr:twoCellAnchor>
    <xdr:from>
      <xdr:col>17</xdr:col>
      <xdr:colOff>63498</xdr:colOff>
      <xdr:row>16</xdr:row>
      <xdr:rowOff>108857</xdr:rowOff>
    </xdr:from>
    <xdr:to>
      <xdr:col>17</xdr:col>
      <xdr:colOff>571499</xdr:colOff>
      <xdr:row>16</xdr:row>
      <xdr:rowOff>118683</xdr:rowOff>
    </xdr:to>
    <xdr:sp macro="" textlink="">
      <xdr:nvSpPr>
        <xdr:cNvPr id="49" name="Line 23"/>
        <xdr:cNvSpPr>
          <a:spLocks noChangeShapeType="1"/>
        </xdr:cNvSpPr>
      </xdr:nvSpPr>
      <xdr:spPr bwMode="auto">
        <a:xfrm flipH="1">
          <a:off x="10649855" y="3111500"/>
          <a:ext cx="508001" cy="9826"/>
        </a:xfrm>
        <a:prstGeom prst="line">
          <a:avLst/>
        </a:prstGeom>
        <a:noFill/>
        <a:ln w="15875">
          <a:solidFill>
            <a:schemeClr val="accent6">
              <a:lumMod val="75000"/>
            </a:schemeClr>
          </a:solidFill>
          <a:round/>
          <a:headEnd/>
          <a:tailEnd type="triangle" w="med" len="med"/>
        </a:ln>
      </xdr:spPr>
    </xdr:sp>
    <xdr:clientData/>
  </xdr:twoCellAnchor>
  <xdr:twoCellAnchor>
    <xdr:from>
      <xdr:col>17</xdr:col>
      <xdr:colOff>117928</xdr:colOff>
      <xdr:row>21</xdr:row>
      <xdr:rowOff>126999</xdr:rowOff>
    </xdr:from>
    <xdr:to>
      <xdr:col>17</xdr:col>
      <xdr:colOff>571498</xdr:colOff>
      <xdr:row>21</xdr:row>
      <xdr:rowOff>127000</xdr:rowOff>
    </xdr:to>
    <xdr:sp macro="" textlink="">
      <xdr:nvSpPr>
        <xdr:cNvPr id="51" name="Line 23"/>
        <xdr:cNvSpPr>
          <a:spLocks noChangeShapeType="1"/>
        </xdr:cNvSpPr>
      </xdr:nvSpPr>
      <xdr:spPr bwMode="auto">
        <a:xfrm flipH="1">
          <a:off x="10704285" y="4172856"/>
          <a:ext cx="453570" cy="1"/>
        </a:xfrm>
        <a:prstGeom prst="line">
          <a:avLst/>
        </a:prstGeom>
        <a:noFill/>
        <a:ln w="15875">
          <a:solidFill>
            <a:schemeClr val="accent6">
              <a:lumMod val="75000"/>
            </a:schemeClr>
          </a:solidFill>
          <a:round/>
          <a:headEnd/>
          <a:tailEnd type="triangle" w="med" len="med"/>
        </a:ln>
      </xdr:spPr>
    </xdr:sp>
    <xdr:clientData/>
  </xdr:twoCellAnchor>
  <xdr:twoCellAnchor>
    <xdr:from>
      <xdr:col>13</xdr:col>
      <xdr:colOff>1515835</xdr:colOff>
      <xdr:row>9</xdr:row>
      <xdr:rowOff>18143</xdr:rowOff>
    </xdr:from>
    <xdr:to>
      <xdr:col>17</xdr:col>
      <xdr:colOff>54428</xdr:colOff>
      <xdr:row>11</xdr:row>
      <xdr:rowOff>9072</xdr:rowOff>
    </xdr:to>
    <xdr:sp macro="" textlink="">
      <xdr:nvSpPr>
        <xdr:cNvPr id="52" name="AutoShape 3"/>
        <xdr:cNvSpPr>
          <a:spLocks noChangeArrowheads="1"/>
        </xdr:cNvSpPr>
      </xdr:nvSpPr>
      <xdr:spPr bwMode="auto">
        <a:xfrm>
          <a:off x="8709478" y="1478643"/>
          <a:ext cx="1931307" cy="480786"/>
        </a:xfrm>
        <a:prstGeom prst="roundRect">
          <a:avLst>
            <a:gd name="adj" fmla="val 16667"/>
          </a:avLst>
        </a:prstGeom>
        <a:noFill/>
        <a:ln w="15875" algn="ctr">
          <a:solidFill>
            <a:srgbClr val="FF6600"/>
          </a:solidFill>
          <a:round/>
          <a:headEnd/>
          <a:tailEnd/>
        </a:ln>
      </xdr:spPr>
    </xdr:sp>
    <xdr:clientData/>
  </xdr:twoCellAnchor>
  <xdr:oneCellAnchor>
    <xdr:from>
      <xdr:col>17</xdr:col>
      <xdr:colOff>557252</xdr:colOff>
      <xdr:row>8</xdr:row>
      <xdr:rowOff>244787</xdr:rowOff>
    </xdr:from>
    <xdr:ext cx="2706196" cy="333970"/>
    <xdr:sp macro="" textlink="">
      <xdr:nvSpPr>
        <xdr:cNvPr id="53" name="AutoShape 24"/>
        <xdr:cNvSpPr>
          <a:spLocks noChangeArrowheads="1"/>
        </xdr:cNvSpPr>
      </xdr:nvSpPr>
      <xdr:spPr bwMode="auto">
        <a:xfrm>
          <a:off x="11143609" y="1460358"/>
          <a:ext cx="2706196" cy="333970"/>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ja-JP" altLang="en-US" sz="1100" b="0" i="0" baseline="0">
              <a:effectLst/>
              <a:latin typeface="+mn-lt"/>
              <a:ea typeface="+mn-ea"/>
              <a:cs typeface="+mn-cs"/>
            </a:rPr>
            <a:t>お分かりになる場合は記入をお願いします。</a:t>
          </a:r>
          <a:endParaRPr lang="en-US" altLang="ja-JP" sz="1100" b="0" i="0" baseline="0">
            <a:effectLst/>
            <a:latin typeface="+mn-lt"/>
            <a:ea typeface="+mn-ea"/>
            <a:cs typeface="+mn-cs"/>
          </a:endParaRPr>
        </a:p>
      </xdr:txBody>
    </xdr:sp>
    <xdr:clientData/>
  </xdr:oneCellAnchor>
  <xdr:twoCellAnchor>
    <xdr:from>
      <xdr:col>17</xdr:col>
      <xdr:colOff>52615</xdr:colOff>
      <xdr:row>9</xdr:row>
      <xdr:rowOff>168728</xdr:rowOff>
    </xdr:from>
    <xdr:to>
      <xdr:col>17</xdr:col>
      <xdr:colOff>547915</xdr:colOff>
      <xdr:row>10</xdr:row>
      <xdr:rowOff>19048</xdr:rowOff>
    </xdr:to>
    <xdr:sp macro="" textlink="">
      <xdr:nvSpPr>
        <xdr:cNvPr id="54" name="Line 23"/>
        <xdr:cNvSpPr>
          <a:spLocks noChangeShapeType="1"/>
        </xdr:cNvSpPr>
      </xdr:nvSpPr>
      <xdr:spPr bwMode="auto">
        <a:xfrm flipH="1">
          <a:off x="10638972" y="1629228"/>
          <a:ext cx="495300" cy="95249"/>
        </a:xfrm>
        <a:prstGeom prst="line">
          <a:avLst/>
        </a:prstGeom>
        <a:noFill/>
        <a:ln w="15875">
          <a:solidFill>
            <a:srgbClr val="FF6600"/>
          </a:solidFill>
          <a:round/>
          <a:headEnd/>
          <a:tailEnd type="triangle" w="med" len="med"/>
        </a:ln>
      </xdr:spPr>
    </xdr:sp>
    <xdr:clientData/>
  </xdr:twoCellAnchor>
  <xdr:twoCellAnchor>
    <xdr:from>
      <xdr:col>17</xdr:col>
      <xdr:colOff>43995</xdr:colOff>
      <xdr:row>6</xdr:row>
      <xdr:rowOff>117929</xdr:rowOff>
    </xdr:from>
    <xdr:to>
      <xdr:col>17</xdr:col>
      <xdr:colOff>634999</xdr:colOff>
      <xdr:row>8</xdr:row>
      <xdr:rowOff>73933</xdr:rowOff>
    </xdr:to>
    <xdr:sp macro="" textlink="">
      <xdr:nvSpPr>
        <xdr:cNvPr id="56" name="Line 23"/>
        <xdr:cNvSpPr>
          <a:spLocks noChangeShapeType="1"/>
        </xdr:cNvSpPr>
      </xdr:nvSpPr>
      <xdr:spPr bwMode="auto">
        <a:xfrm flipH="1">
          <a:off x="10630352" y="1152072"/>
          <a:ext cx="591004" cy="554718"/>
        </a:xfrm>
        <a:prstGeom prst="line">
          <a:avLst/>
        </a:prstGeom>
        <a:noFill/>
        <a:ln w="15875">
          <a:solidFill>
            <a:srgbClr val="FF0000"/>
          </a:solidFill>
          <a:round/>
          <a:headEnd/>
          <a:tailEnd type="triangle" w="med" len="med"/>
        </a:ln>
      </xdr:spPr>
    </xdr:sp>
    <xdr:clientData/>
  </xdr:twoCellAnchor>
  <xdr:twoCellAnchor>
    <xdr:from>
      <xdr:col>13</xdr:col>
      <xdr:colOff>1496785</xdr:colOff>
      <xdr:row>7</xdr:row>
      <xdr:rowOff>0</xdr:rowOff>
    </xdr:from>
    <xdr:to>
      <xdr:col>17</xdr:col>
      <xdr:colOff>15422</xdr:colOff>
      <xdr:row>8</xdr:row>
      <xdr:rowOff>197755</xdr:rowOff>
    </xdr:to>
    <xdr:sp macro="" textlink="">
      <xdr:nvSpPr>
        <xdr:cNvPr id="57" name="AutoShape 3"/>
        <xdr:cNvSpPr>
          <a:spLocks noChangeArrowheads="1"/>
        </xdr:cNvSpPr>
      </xdr:nvSpPr>
      <xdr:spPr bwMode="auto">
        <a:xfrm>
          <a:off x="8690428" y="970643"/>
          <a:ext cx="1911351" cy="442683"/>
        </a:xfrm>
        <a:prstGeom prst="roundRect">
          <a:avLst>
            <a:gd name="adj" fmla="val 16667"/>
          </a:avLst>
        </a:prstGeom>
        <a:solidFill>
          <a:schemeClr val="accent3">
            <a:lumMod val="60000"/>
            <a:lumOff val="40000"/>
            <a:alpha val="40000"/>
          </a:schemeClr>
        </a:solidFill>
        <a:ln w="15875" algn="ctr">
          <a:solidFill>
            <a:srgbClr val="FF0000"/>
          </a:solidFill>
          <a:round/>
          <a:headEnd/>
          <a:tailEnd/>
        </a:ln>
      </xdr:spPr>
    </xdr:sp>
    <xdr:clientData/>
  </xdr:twoCellAnchor>
  <xdr:twoCellAnchor>
    <xdr:from>
      <xdr:col>4</xdr:col>
      <xdr:colOff>564444</xdr:colOff>
      <xdr:row>23</xdr:row>
      <xdr:rowOff>190499</xdr:rowOff>
    </xdr:from>
    <xdr:to>
      <xdr:col>7</xdr:col>
      <xdr:colOff>684387</xdr:colOff>
      <xdr:row>24</xdr:row>
      <xdr:rowOff>56443</xdr:rowOff>
    </xdr:to>
    <xdr:sp macro="" textlink="">
      <xdr:nvSpPr>
        <xdr:cNvPr id="59" name="Line 23"/>
        <xdr:cNvSpPr>
          <a:spLocks noChangeShapeType="1"/>
        </xdr:cNvSpPr>
      </xdr:nvSpPr>
      <xdr:spPr bwMode="auto">
        <a:xfrm flipH="1" flipV="1">
          <a:off x="3506611" y="4670777"/>
          <a:ext cx="1396998" cy="105833"/>
        </a:xfrm>
        <a:prstGeom prst="line">
          <a:avLst/>
        </a:prstGeom>
        <a:noFill/>
        <a:ln w="15875">
          <a:solidFill>
            <a:schemeClr val="accent6">
              <a:lumMod val="75000"/>
            </a:schemeClr>
          </a:solidFill>
          <a:round/>
          <a:headEnd/>
          <a:tailEnd type="triangle" w="med" len="med"/>
        </a:ln>
      </xdr:spPr>
    </xdr:sp>
    <xdr:clientData/>
  </xdr:twoCellAnchor>
  <xdr:oneCellAnchor>
    <xdr:from>
      <xdr:col>7</xdr:col>
      <xdr:colOff>684390</xdr:colOff>
      <xdr:row>22</xdr:row>
      <xdr:rowOff>225778</xdr:rowOff>
    </xdr:from>
    <xdr:ext cx="8269110" cy="402166"/>
    <xdr:sp macro="" textlink="">
      <xdr:nvSpPr>
        <xdr:cNvPr id="61" name="AutoShape 24"/>
        <xdr:cNvSpPr>
          <a:spLocks noChangeArrowheads="1"/>
        </xdr:cNvSpPr>
      </xdr:nvSpPr>
      <xdr:spPr bwMode="auto">
        <a:xfrm>
          <a:off x="4903612" y="4466167"/>
          <a:ext cx="8269110" cy="402166"/>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ctr" upright="1">
          <a:noAutofit/>
        </a:bodyPr>
        <a:lstStyle/>
        <a:p>
          <a:pPr rtl="0"/>
          <a:r>
            <a:rPr lang="ja-JP" altLang="en-US">
              <a:effectLst/>
            </a:rPr>
            <a:t>重量（</a:t>
          </a:r>
          <a:r>
            <a:rPr lang="en-US" altLang="ja-JP">
              <a:effectLst/>
            </a:rPr>
            <a:t>g</a:t>
          </a:r>
          <a:r>
            <a:rPr lang="ja-JP" altLang="en-US">
              <a:effectLst/>
            </a:rPr>
            <a:t>または</a:t>
          </a:r>
          <a:r>
            <a:rPr lang="en-US" altLang="ja-JP">
              <a:effectLst/>
            </a:rPr>
            <a:t>mg</a:t>
          </a:r>
          <a:r>
            <a:rPr lang="ja-JP" altLang="en-US">
              <a:effectLst/>
            </a:rPr>
            <a:t>）数量（</a:t>
          </a:r>
          <a:r>
            <a:rPr lang="en-US" altLang="ja-JP">
              <a:effectLst/>
            </a:rPr>
            <a:t>pcs</a:t>
          </a:r>
          <a:r>
            <a:rPr lang="ja-JP" altLang="en-US">
              <a:effectLst/>
            </a:rPr>
            <a:t>、</a:t>
          </a:r>
          <a:r>
            <a:rPr lang="en-US" altLang="ja-JP">
              <a:effectLst/>
            </a:rPr>
            <a:t>m</a:t>
          </a:r>
          <a:r>
            <a:rPr lang="ja-JP" altLang="en-US">
              <a:effectLst/>
            </a:rPr>
            <a:t>または</a:t>
          </a:r>
          <a:r>
            <a:rPr lang="en-US" altLang="ja-JP">
              <a:effectLst/>
            </a:rPr>
            <a:t>m2</a:t>
          </a:r>
          <a:r>
            <a:rPr lang="ja-JP" altLang="en-US">
              <a:effectLst/>
            </a:rPr>
            <a:t>の単位をドロップダウンリストから選択ください。選択後は表の項目の単位は自動で変更されます。</a:t>
          </a:r>
          <a:endParaRPr lang="ja-JP" altLang="ja-JP">
            <a:effectLst/>
          </a:endParaRPr>
        </a:p>
      </xdr:txBody>
    </xdr:sp>
    <xdr:clientData/>
  </xdr:oneCellAnchor>
  <xdr:twoCellAnchor>
    <xdr:from>
      <xdr:col>6</xdr:col>
      <xdr:colOff>388055</xdr:colOff>
      <xdr:row>23</xdr:row>
      <xdr:rowOff>0</xdr:rowOff>
    </xdr:from>
    <xdr:to>
      <xdr:col>7</xdr:col>
      <xdr:colOff>719665</xdr:colOff>
      <xdr:row>23</xdr:row>
      <xdr:rowOff>84666</xdr:rowOff>
    </xdr:to>
    <xdr:sp macro="" textlink="">
      <xdr:nvSpPr>
        <xdr:cNvPr id="62" name="Line 23"/>
        <xdr:cNvSpPr>
          <a:spLocks noChangeShapeType="1"/>
        </xdr:cNvSpPr>
      </xdr:nvSpPr>
      <xdr:spPr bwMode="auto">
        <a:xfrm flipH="1">
          <a:off x="4000499" y="4480278"/>
          <a:ext cx="938388" cy="84666"/>
        </a:xfrm>
        <a:prstGeom prst="line">
          <a:avLst/>
        </a:prstGeom>
        <a:noFill/>
        <a:ln w="15875">
          <a:solidFill>
            <a:schemeClr val="accent6">
              <a:lumMod val="75000"/>
            </a:schemeClr>
          </a:solidFill>
          <a:round/>
          <a:headEnd/>
          <a:tailEnd type="triangle" w="med" len="med"/>
        </a:ln>
      </xdr:spPr>
    </xdr:sp>
    <xdr:clientData/>
  </xdr:twoCellAnchor>
  <xdr:twoCellAnchor>
    <xdr:from>
      <xdr:col>0</xdr:col>
      <xdr:colOff>190500</xdr:colOff>
      <xdr:row>79</xdr:row>
      <xdr:rowOff>14111</xdr:rowOff>
    </xdr:from>
    <xdr:to>
      <xdr:col>12</xdr:col>
      <xdr:colOff>7055</xdr:colOff>
      <xdr:row>84</xdr:row>
      <xdr:rowOff>14111</xdr:rowOff>
    </xdr:to>
    <xdr:sp macro="" textlink="">
      <xdr:nvSpPr>
        <xdr:cNvPr id="64" name="AutoShape 3"/>
        <xdr:cNvSpPr>
          <a:spLocks noChangeArrowheads="1"/>
        </xdr:cNvSpPr>
      </xdr:nvSpPr>
      <xdr:spPr bwMode="auto">
        <a:xfrm>
          <a:off x="190500" y="4988278"/>
          <a:ext cx="6406444" cy="1192389"/>
        </a:xfrm>
        <a:prstGeom prst="roundRect">
          <a:avLst>
            <a:gd name="adj" fmla="val 16667"/>
          </a:avLst>
        </a:prstGeom>
        <a:noFill/>
        <a:ln w="15875" algn="ctr">
          <a:solidFill>
            <a:srgbClr val="FF6600"/>
          </a:solidFill>
          <a:round/>
          <a:headEnd/>
          <a:tailEnd/>
        </a:ln>
      </xdr:spPr>
    </xdr:sp>
    <xdr:clientData/>
  </xdr:twoCellAnchor>
  <xdr:oneCellAnchor>
    <xdr:from>
      <xdr:col>17</xdr:col>
      <xdr:colOff>760185</xdr:colOff>
      <xdr:row>93</xdr:row>
      <xdr:rowOff>14112</xdr:rowOff>
    </xdr:from>
    <xdr:ext cx="3219147" cy="649110"/>
    <xdr:sp macro="" textlink="">
      <xdr:nvSpPr>
        <xdr:cNvPr id="65" name="AutoShape 24"/>
        <xdr:cNvSpPr>
          <a:spLocks noChangeArrowheads="1"/>
        </xdr:cNvSpPr>
      </xdr:nvSpPr>
      <xdr:spPr bwMode="auto">
        <a:xfrm>
          <a:off x="11343518" y="8085668"/>
          <a:ext cx="3219147" cy="649110"/>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ja-JP" sz="1100" b="0" i="0" baseline="0">
              <a:effectLst/>
              <a:latin typeface="+mn-lt"/>
              <a:ea typeface="+mn-ea"/>
              <a:cs typeface="+mn-cs"/>
            </a:rPr>
            <a:t>・</a:t>
          </a:r>
          <a:r>
            <a:rPr lang="ja-JP" altLang="en-US" sz="1100" b="0" i="0" baseline="0">
              <a:effectLst/>
              <a:latin typeface="+mn-lt"/>
              <a:ea typeface="+mn-ea"/>
              <a:cs typeface="+mn-cs"/>
            </a:rPr>
            <a:t>使用目的・用途</a:t>
          </a:r>
          <a:r>
            <a:rPr lang="ja-JP" altLang="ja-JP" sz="1100" b="0" i="0" baseline="0">
              <a:effectLst/>
              <a:latin typeface="+mn-lt"/>
              <a:ea typeface="+mn-ea"/>
              <a:cs typeface="+mn-cs"/>
            </a:rPr>
            <a:t>はドロップダウンリストからの選択も</a:t>
          </a:r>
          <a:endParaRPr lang="en-US" altLang="ja-JP" sz="1100" b="0" i="0" baseline="0">
            <a:effectLst/>
            <a:latin typeface="+mn-lt"/>
            <a:ea typeface="+mn-ea"/>
            <a:cs typeface="+mn-cs"/>
          </a:endParaRPr>
        </a:p>
        <a:p>
          <a:pPr rtl="0"/>
          <a:r>
            <a:rPr lang="en-US" altLang="ja-JP" sz="1100" b="0" i="0" baseline="0">
              <a:effectLst/>
              <a:latin typeface="+mn-lt"/>
              <a:ea typeface="+mn-ea"/>
              <a:cs typeface="+mn-cs"/>
            </a:rPr>
            <a:t>  </a:t>
          </a:r>
          <a:r>
            <a:rPr lang="ja-JP" altLang="ja-JP" sz="1100" b="0" i="0" baseline="0">
              <a:effectLst/>
              <a:latin typeface="+mn-lt"/>
              <a:ea typeface="+mn-ea"/>
              <a:cs typeface="+mn-cs"/>
            </a:rPr>
            <a:t>通常の入力も可能です。任意で選択ください。</a:t>
          </a:r>
          <a:endParaRPr lang="en-US" altLang="ja-JP" sz="1100" b="0" i="0" baseline="0">
            <a:effectLst/>
            <a:latin typeface="+mn-lt"/>
            <a:ea typeface="+mn-ea"/>
            <a:cs typeface="+mn-cs"/>
          </a:endParaRPr>
        </a:p>
      </xdr:txBody>
    </xdr:sp>
    <xdr:clientData/>
  </xdr:oneCellAnchor>
  <xdr:twoCellAnchor>
    <xdr:from>
      <xdr:col>3</xdr:col>
      <xdr:colOff>4234</xdr:colOff>
      <xdr:row>84</xdr:row>
      <xdr:rowOff>7055</xdr:rowOff>
    </xdr:from>
    <xdr:to>
      <xdr:col>3</xdr:col>
      <xdr:colOff>244122</xdr:colOff>
      <xdr:row>89</xdr:row>
      <xdr:rowOff>77610</xdr:rowOff>
    </xdr:to>
    <xdr:sp macro="" textlink="">
      <xdr:nvSpPr>
        <xdr:cNvPr id="66" name="Line 23"/>
        <xdr:cNvSpPr>
          <a:spLocks noChangeShapeType="1"/>
        </xdr:cNvSpPr>
      </xdr:nvSpPr>
      <xdr:spPr bwMode="auto">
        <a:xfrm flipV="1">
          <a:off x="1921934" y="6661855"/>
          <a:ext cx="239888" cy="1150055"/>
        </a:xfrm>
        <a:prstGeom prst="line">
          <a:avLst/>
        </a:prstGeom>
        <a:noFill/>
        <a:ln w="15875">
          <a:solidFill>
            <a:schemeClr val="accent6">
              <a:lumMod val="75000"/>
            </a:schemeClr>
          </a:solidFill>
          <a:round/>
          <a:headEnd/>
          <a:tailEnd type="triangle" w="med" len="med"/>
        </a:ln>
      </xdr:spPr>
    </xdr:sp>
    <xdr:clientData/>
  </xdr:twoCellAnchor>
  <xdr:twoCellAnchor>
    <xdr:from>
      <xdr:col>13</xdr:col>
      <xdr:colOff>7057</xdr:colOff>
      <xdr:row>78</xdr:row>
      <xdr:rowOff>119944</xdr:rowOff>
    </xdr:from>
    <xdr:to>
      <xdr:col>16</xdr:col>
      <xdr:colOff>42334</xdr:colOff>
      <xdr:row>84</xdr:row>
      <xdr:rowOff>42333</xdr:rowOff>
    </xdr:to>
    <xdr:sp macro="" textlink="">
      <xdr:nvSpPr>
        <xdr:cNvPr id="77" name="AutoShape 3"/>
        <xdr:cNvSpPr>
          <a:spLocks noChangeArrowheads="1"/>
        </xdr:cNvSpPr>
      </xdr:nvSpPr>
      <xdr:spPr bwMode="auto">
        <a:xfrm>
          <a:off x="7203724" y="4967111"/>
          <a:ext cx="2815166" cy="1241778"/>
        </a:xfrm>
        <a:prstGeom prst="roundRect">
          <a:avLst>
            <a:gd name="adj" fmla="val 16667"/>
          </a:avLst>
        </a:prstGeom>
        <a:noFill/>
        <a:ln w="15875" algn="ctr">
          <a:solidFill>
            <a:srgbClr val="FF6600"/>
          </a:solidFill>
          <a:round/>
          <a:headEnd/>
          <a:tailEnd/>
        </a:ln>
      </xdr:spPr>
    </xdr:sp>
    <xdr:clientData/>
  </xdr:twoCellAnchor>
  <xdr:twoCellAnchor>
    <xdr:from>
      <xdr:col>13</xdr:col>
      <xdr:colOff>1516944</xdr:colOff>
      <xdr:row>84</xdr:row>
      <xdr:rowOff>42329</xdr:rowOff>
    </xdr:from>
    <xdr:to>
      <xdr:col>14</xdr:col>
      <xdr:colOff>126998</xdr:colOff>
      <xdr:row>88</xdr:row>
      <xdr:rowOff>141111</xdr:rowOff>
    </xdr:to>
    <xdr:sp macro="" textlink="">
      <xdr:nvSpPr>
        <xdr:cNvPr id="81" name="Line 23"/>
        <xdr:cNvSpPr>
          <a:spLocks noChangeShapeType="1"/>
        </xdr:cNvSpPr>
      </xdr:nvSpPr>
      <xdr:spPr bwMode="auto">
        <a:xfrm flipV="1">
          <a:off x="8713611" y="6208885"/>
          <a:ext cx="176387" cy="945448"/>
        </a:xfrm>
        <a:prstGeom prst="line">
          <a:avLst/>
        </a:prstGeom>
        <a:noFill/>
        <a:ln w="15875">
          <a:solidFill>
            <a:schemeClr val="accent6">
              <a:lumMod val="75000"/>
            </a:schemeClr>
          </a:solidFill>
          <a:round/>
          <a:headEnd/>
          <a:tailEnd type="triangle" w="med" len="med"/>
        </a:ln>
      </xdr:spPr>
    </xdr:sp>
    <xdr:clientData/>
  </xdr:twoCellAnchor>
  <xdr:oneCellAnchor>
    <xdr:from>
      <xdr:col>0</xdr:col>
      <xdr:colOff>204611</xdr:colOff>
      <xdr:row>89</xdr:row>
      <xdr:rowOff>74787</xdr:rowOff>
    </xdr:from>
    <xdr:ext cx="6321778" cy="1138767"/>
    <xdr:sp macro="" textlink="">
      <xdr:nvSpPr>
        <xdr:cNvPr id="84" name="AutoShape 24"/>
        <xdr:cNvSpPr>
          <a:spLocks noChangeArrowheads="1"/>
        </xdr:cNvSpPr>
      </xdr:nvSpPr>
      <xdr:spPr bwMode="auto">
        <a:xfrm>
          <a:off x="204611" y="7299676"/>
          <a:ext cx="6321778" cy="1138767"/>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・部位名、材料名はドロップダウンリストからの選択も通常の入力も可能です。任意で選択ください。</a:t>
          </a:r>
          <a:endParaRPr lang="en-US" altLang="ja-JP" sz="1100" b="0" i="0" baseline="0">
            <a:effectLst/>
            <a:latin typeface="+mn-lt"/>
            <a:ea typeface="+mn-ea"/>
            <a:cs typeface="+mn-cs"/>
          </a:endParaRPr>
        </a:p>
        <a:p>
          <a:pPr rtl="0"/>
          <a:r>
            <a:rPr lang="ja-JP" altLang="en-US" sz="1100" b="0" i="0" baseline="0">
              <a:effectLst/>
              <a:latin typeface="+mn-lt"/>
              <a:ea typeface="+mn-ea"/>
              <a:cs typeface="+mn-cs"/>
            </a:rPr>
            <a:t>  なお、ドロップダウンリストを使用の場合は部位名を選択した後に、部位に応じた材料名を選択ください。</a:t>
          </a:r>
          <a:endParaRPr lang="en-US" altLang="ja-JP" sz="1100" b="0" i="0" baseline="0">
            <a:effectLst/>
            <a:latin typeface="+mn-lt"/>
            <a:ea typeface="+mn-ea"/>
            <a:cs typeface="+mn-cs"/>
          </a:endParaRPr>
        </a:p>
        <a:p>
          <a:pPr rtl="0"/>
          <a:r>
            <a:rPr lang="ja-JP" altLang="en-US">
              <a:effectLst/>
            </a:rPr>
            <a:t>・一つの部位の報告は対応する物質数と同じ行数を使用します。</a:t>
          </a:r>
          <a:endParaRPr lang="en-US" altLang="ja-JP">
            <a:effectLst/>
          </a:endParaRPr>
        </a:p>
        <a:p>
          <a:pPr rtl="0"/>
          <a:r>
            <a:rPr lang="ja-JP" altLang="en-US">
              <a:effectLst/>
            </a:rPr>
            <a:t>  なお、数、部位名、材料名、材料メーカー、型式、部位質量は最上段のみに記入してください。</a:t>
          </a:r>
          <a:endParaRPr lang="en-US" altLang="ja-JP">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a:t>
          </a:r>
          <a:r>
            <a:rPr lang="ja-JP" altLang="ja-JP" sz="1100" b="0" i="0" baseline="0">
              <a:effectLst/>
              <a:latin typeface="+mn-lt"/>
              <a:ea typeface="+mn-ea"/>
              <a:cs typeface="+mn-cs"/>
            </a:rPr>
            <a:t>分析結果報告書と部品構成が同じになるように記載をお願い致します。</a:t>
          </a:r>
          <a:endParaRPr lang="ja-JP" altLang="ja-JP">
            <a:effectLst/>
          </a:endParaRPr>
        </a:p>
      </xdr:txBody>
    </xdr:sp>
    <xdr:clientData/>
  </xdr:oneCellAnchor>
  <xdr:twoCellAnchor>
    <xdr:from>
      <xdr:col>8</xdr:col>
      <xdr:colOff>180621</xdr:colOff>
      <xdr:row>83</xdr:row>
      <xdr:rowOff>183443</xdr:rowOff>
    </xdr:from>
    <xdr:to>
      <xdr:col>13</xdr:col>
      <xdr:colOff>423333</xdr:colOff>
      <xdr:row>89</xdr:row>
      <xdr:rowOff>74787</xdr:rowOff>
    </xdr:to>
    <xdr:sp macro="" textlink="">
      <xdr:nvSpPr>
        <xdr:cNvPr id="86" name="Line 23"/>
        <xdr:cNvSpPr>
          <a:spLocks noChangeShapeType="1"/>
        </xdr:cNvSpPr>
      </xdr:nvSpPr>
      <xdr:spPr bwMode="auto">
        <a:xfrm flipV="1">
          <a:off x="5281788" y="6138332"/>
          <a:ext cx="2338212" cy="1161344"/>
        </a:xfrm>
        <a:prstGeom prst="line">
          <a:avLst/>
        </a:prstGeom>
        <a:noFill/>
        <a:ln w="15875">
          <a:solidFill>
            <a:schemeClr val="accent6">
              <a:lumMod val="75000"/>
            </a:schemeClr>
          </a:solidFill>
          <a:round/>
          <a:headEnd/>
          <a:tailEnd type="triangle" w="med" len="med"/>
        </a:ln>
      </xdr:spPr>
    </xdr:sp>
    <xdr:clientData/>
  </xdr:twoCellAnchor>
  <xdr:twoCellAnchor>
    <xdr:from>
      <xdr:col>12</xdr:col>
      <xdr:colOff>25401</xdr:colOff>
      <xdr:row>79</xdr:row>
      <xdr:rowOff>7054</xdr:rowOff>
    </xdr:from>
    <xdr:to>
      <xdr:col>13</xdr:col>
      <xdr:colOff>28223</xdr:colOff>
      <xdr:row>103</xdr:row>
      <xdr:rowOff>56444</xdr:rowOff>
    </xdr:to>
    <xdr:sp macro="" textlink="">
      <xdr:nvSpPr>
        <xdr:cNvPr id="88" name="AutoShape 3"/>
        <xdr:cNvSpPr>
          <a:spLocks noChangeArrowheads="1"/>
        </xdr:cNvSpPr>
      </xdr:nvSpPr>
      <xdr:spPr bwMode="auto">
        <a:xfrm>
          <a:off x="6615290" y="4981221"/>
          <a:ext cx="609600" cy="5418667"/>
        </a:xfrm>
        <a:prstGeom prst="roundRect">
          <a:avLst>
            <a:gd name="adj" fmla="val 16667"/>
          </a:avLst>
        </a:prstGeom>
        <a:noFill/>
        <a:ln w="25400" algn="ctr">
          <a:solidFill>
            <a:schemeClr val="bg2">
              <a:lumMod val="25000"/>
            </a:schemeClr>
          </a:solidFill>
          <a:round/>
          <a:headEnd/>
          <a:tailEnd/>
        </a:ln>
      </xdr:spPr>
    </xdr:sp>
    <xdr:clientData/>
  </xdr:twoCellAnchor>
  <xdr:twoCellAnchor>
    <xdr:from>
      <xdr:col>15</xdr:col>
      <xdr:colOff>601134</xdr:colOff>
      <xdr:row>78</xdr:row>
      <xdr:rowOff>95954</xdr:rowOff>
    </xdr:from>
    <xdr:to>
      <xdr:col>16</xdr:col>
      <xdr:colOff>603956</xdr:colOff>
      <xdr:row>103</xdr:row>
      <xdr:rowOff>18344</xdr:rowOff>
    </xdr:to>
    <xdr:sp macro="" textlink="">
      <xdr:nvSpPr>
        <xdr:cNvPr id="89" name="AutoShape 3"/>
        <xdr:cNvSpPr>
          <a:spLocks noChangeArrowheads="1"/>
        </xdr:cNvSpPr>
      </xdr:nvSpPr>
      <xdr:spPr bwMode="auto">
        <a:xfrm>
          <a:off x="9970912" y="4943121"/>
          <a:ext cx="609600" cy="5418667"/>
        </a:xfrm>
        <a:prstGeom prst="roundRect">
          <a:avLst>
            <a:gd name="adj" fmla="val 16667"/>
          </a:avLst>
        </a:prstGeom>
        <a:noFill/>
        <a:ln w="25400" algn="ctr">
          <a:solidFill>
            <a:schemeClr val="bg2">
              <a:lumMod val="25000"/>
            </a:schemeClr>
          </a:solidFill>
          <a:round/>
          <a:headEnd/>
          <a:tailEnd/>
        </a:ln>
      </xdr:spPr>
    </xdr:sp>
    <xdr:clientData/>
  </xdr:twoCellAnchor>
  <xdr:oneCellAnchor>
    <xdr:from>
      <xdr:col>13</xdr:col>
      <xdr:colOff>279402</xdr:colOff>
      <xdr:row>95</xdr:row>
      <xdr:rowOff>208844</xdr:rowOff>
    </xdr:from>
    <xdr:ext cx="2324100" cy="574324"/>
    <xdr:sp macro="" textlink="">
      <xdr:nvSpPr>
        <xdr:cNvPr id="90" name="AutoShape 24"/>
        <xdr:cNvSpPr>
          <a:spLocks noChangeArrowheads="1"/>
        </xdr:cNvSpPr>
      </xdr:nvSpPr>
      <xdr:spPr bwMode="auto">
        <a:xfrm>
          <a:off x="7476069" y="8703733"/>
          <a:ext cx="2324100" cy="574324"/>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・自動で計算され、記載されます。</a:t>
          </a:r>
          <a:endParaRPr lang="en-US" altLang="ja-JP" sz="1100" b="0" i="0" baseline="0">
            <a:effectLst/>
            <a:latin typeface="+mn-lt"/>
            <a:ea typeface="+mn-ea"/>
            <a:cs typeface="+mn-cs"/>
          </a:endParaRPr>
        </a:p>
        <a:p>
          <a:pPr rtl="0"/>
          <a:r>
            <a:rPr lang="ja-JP" altLang="en-US" sz="1100" b="0" i="0" baseline="0">
              <a:effectLst/>
              <a:latin typeface="+mn-lt"/>
              <a:ea typeface="+mn-ea"/>
              <a:cs typeface="+mn-cs"/>
            </a:rPr>
            <a:t>・入力はできません。</a:t>
          </a:r>
          <a:endParaRPr lang="en-US" altLang="ja-JP" sz="1100" b="0" i="0" baseline="0">
            <a:effectLst/>
            <a:latin typeface="+mn-lt"/>
            <a:ea typeface="+mn-ea"/>
            <a:cs typeface="+mn-cs"/>
          </a:endParaRPr>
        </a:p>
      </xdr:txBody>
    </xdr:sp>
    <xdr:clientData/>
  </xdr:oneCellAnchor>
  <xdr:twoCellAnchor>
    <xdr:from>
      <xdr:col>12</xdr:col>
      <xdr:colOff>381000</xdr:colOff>
      <xdr:row>93</xdr:row>
      <xdr:rowOff>127000</xdr:rowOff>
    </xdr:from>
    <xdr:to>
      <xdr:col>13</xdr:col>
      <xdr:colOff>303388</xdr:colOff>
      <xdr:row>97</xdr:row>
      <xdr:rowOff>56445</xdr:rowOff>
    </xdr:to>
    <xdr:sp macro="" textlink="">
      <xdr:nvSpPr>
        <xdr:cNvPr id="91" name="Line 23"/>
        <xdr:cNvSpPr>
          <a:spLocks noChangeShapeType="1"/>
        </xdr:cNvSpPr>
      </xdr:nvSpPr>
      <xdr:spPr bwMode="auto">
        <a:xfrm flipH="1" flipV="1">
          <a:off x="6970889" y="8198556"/>
          <a:ext cx="529166" cy="776111"/>
        </a:xfrm>
        <a:prstGeom prst="line">
          <a:avLst/>
        </a:prstGeom>
        <a:noFill/>
        <a:ln w="15875">
          <a:solidFill>
            <a:srgbClr val="FF6600"/>
          </a:solidFill>
          <a:round/>
          <a:headEnd/>
          <a:tailEnd type="triangle" w="med" len="med"/>
        </a:ln>
      </xdr:spPr>
    </xdr:sp>
    <xdr:clientData/>
  </xdr:twoCellAnchor>
  <xdr:twoCellAnchor>
    <xdr:from>
      <xdr:col>15</xdr:col>
      <xdr:colOff>423333</xdr:colOff>
      <xdr:row>93</xdr:row>
      <xdr:rowOff>141110</xdr:rowOff>
    </xdr:from>
    <xdr:to>
      <xdr:col>16</xdr:col>
      <xdr:colOff>352777</xdr:colOff>
      <xdr:row>97</xdr:row>
      <xdr:rowOff>28221</xdr:rowOff>
    </xdr:to>
    <xdr:sp macro="" textlink="">
      <xdr:nvSpPr>
        <xdr:cNvPr id="92" name="Line 23"/>
        <xdr:cNvSpPr>
          <a:spLocks noChangeShapeType="1"/>
        </xdr:cNvSpPr>
      </xdr:nvSpPr>
      <xdr:spPr bwMode="auto">
        <a:xfrm flipV="1">
          <a:off x="9793111" y="8212666"/>
          <a:ext cx="536222" cy="733777"/>
        </a:xfrm>
        <a:prstGeom prst="line">
          <a:avLst/>
        </a:prstGeom>
        <a:noFill/>
        <a:ln w="15875">
          <a:solidFill>
            <a:srgbClr val="FF6600"/>
          </a:solidFill>
          <a:round/>
          <a:headEnd/>
          <a:tailEnd type="triangle" w="med" len="med"/>
        </a:ln>
      </xdr:spPr>
    </xdr:sp>
    <xdr:clientData/>
  </xdr:twoCellAnchor>
  <xdr:oneCellAnchor>
    <xdr:from>
      <xdr:col>15</xdr:col>
      <xdr:colOff>88903</xdr:colOff>
      <xdr:row>105</xdr:row>
      <xdr:rowOff>46566</xdr:rowOff>
    </xdr:from>
    <xdr:ext cx="3184874" cy="824291"/>
    <xdr:sp macro="" textlink="">
      <xdr:nvSpPr>
        <xdr:cNvPr id="94" name="AutoShape 24"/>
        <xdr:cNvSpPr>
          <a:spLocks noChangeArrowheads="1"/>
        </xdr:cNvSpPr>
      </xdr:nvSpPr>
      <xdr:spPr bwMode="auto">
        <a:xfrm>
          <a:off x="9459689" y="11286066"/>
          <a:ext cx="3184874" cy="82429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・自動で計算され、記載されます。</a:t>
          </a:r>
          <a:endParaRPr lang="en-US" altLang="ja-JP" sz="1100" b="0" i="0" baseline="0">
            <a:effectLst/>
            <a:latin typeface="+mn-lt"/>
            <a:ea typeface="+mn-ea"/>
            <a:cs typeface="+mn-cs"/>
          </a:endParaRPr>
        </a:p>
        <a:p>
          <a:pPr rtl="0"/>
          <a:r>
            <a:rPr lang="ja-JP" altLang="en-US" sz="1100" b="0" i="0" baseline="0">
              <a:effectLst/>
              <a:latin typeface="+mn-lt"/>
              <a:ea typeface="+mn-ea"/>
              <a:cs typeface="+mn-cs"/>
            </a:rPr>
            <a:t>・入力はできません。</a:t>
          </a:r>
          <a:endParaRPr lang="en-US" altLang="ja-JP" sz="1100" b="0" i="0" baseline="0">
            <a:effectLst/>
            <a:latin typeface="+mn-lt"/>
            <a:ea typeface="+mn-ea"/>
            <a:cs typeface="+mn-cs"/>
          </a:endParaRPr>
        </a:p>
        <a:p>
          <a:pPr rtl="0"/>
          <a:r>
            <a:rPr lang="ja-JP" altLang="en-US" sz="1100" b="0" i="0" baseline="0">
              <a:effectLst/>
              <a:latin typeface="+mn-lt"/>
              <a:ea typeface="+mn-ea"/>
              <a:cs typeface="+mn-cs"/>
            </a:rPr>
            <a:t>・正確に入力すると両方の数値は同じになります。</a:t>
          </a:r>
          <a:endParaRPr lang="en-US" altLang="ja-JP" sz="1100" b="0" i="0" baseline="0">
            <a:effectLst/>
            <a:latin typeface="+mn-lt"/>
            <a:ea typeface="+mn-ea"/>
            <a:cs typeface="+mn-cs"/>
          </a:endParaRPr>
        </a:p>
      </xdr:txBody>
    </xdr:sp>
    <xdr:clientData/>
  </xdr:oneCellAnchor>
  <xdr:twoCellAnchor>
    <xdr:from>
      <xdr:col>13</xdr:col>
      <xdr:colOff>190499</xdr:colOff>
      <xdr:row>102</xdr:row>
      <xdr:rowOff>169332</xdr:rowOff>
    </xdr:from>
    <xdr:to>
      <xdr:col>15</xdr:col>
      <xdr:colOff>91722</xdr:colOff>
      <xdr:row>105</xdr:row>
      <xdr:rowOff>204610</xdr:rowOff>
    </xdr:to>
    <xdr:sp macro="" textlink="">
      <xdr:nvSpPr>
        <xdr:cNvPr id="95" name="Line 23"/>
        <xdr:cNvSpPr>
          <a:spLocks noChangeShapeType="1"/>
        </xdr:cNvSpPr>
      </xdr:nvSpPr>
      <xdr:spPr bwMode="auto">
        <a:xfrm flipH="1" flipV="1">
          <a:off x="7387166" y="10294054"/>
          <a:ext cx="2074334" cy="726723"/>
        </a:xfrm>
        <a:prstGeom prst="line">
          <a:avLst/>
        </a:prstGeom>
        <a:noFill/>
        <a:ln w="15875">
          <a:solidFill>
            <a:srgbClr val="FF6600"/>
          </a:solidFill>
          <a:round/>
          <a:headEnd/>
          <a:tailEnd type="triangle" w="med" len="med"/>
        </a:ln>
      </xdr:spPr>
    </xdr:sp>
    <xdr:clientData/>
  </xdr:twoCellAnchor>
  <xdr:twoCellAnchor>
    <xdr:from>
      <xdr:col>16</xdr:col>
      <xdr:colOff>169333</xdr:colOff>
      <xdr:row>103</xdr:row>
      <xdr:rowOff>63499</xdr:rowOff>
    </xdr:from>
    <xdr:to>
      <xdr:col>16</xdr:col>
      <xdr:colOff>268112</xdr:colOff>
      <xdr:row>105</xdr:row>
      <xdr:rowOff>42332</xdr:rowOff>
    </xdr:to>
    <xdr:sp macro="" textlink="">
      <xdr:nvSpPr>
        <xdr:cNvPr id="96" name="Line 23"/>
        <xdr:cNvSpPr>
          <a:spLocks noChangeShapeType="1"/>
        </xdr:cNvSpPr>
      </xdr:nvSpPr>
      <xdr:spPr bwMode="auto">
        <a:xfrm flipV="1">
          <a:off x="10145889" y="10406943"/>
          <a:ext cx="98779" cy="451556"/>
        </a:xfrm>
        <a:prstGeom prst="line">
          <a:avLst/>
        </a:prstGeom>
        <a:noFill/>
        <a:ln w="15875">
          <a:solidFill>
            <a:srgbClr val="FF6600"/>
          </a:solidFill>
          <a:round/>
          <a:headEnd/>
          <a:tailEnd type="triangle" w="med" len="med"/>
        </a:ln>
      </xdr:spPr>
    </xdr:sp>
    <xdr:clientData/>
  </xdr:twoCellAnchor>
  <xdr:twoCellAnchor>
    <xdr:from>
      <xdr:col>17</xdr:col>
      <xdr:colOff>500944</xdr:colOff>
      <xdr:row>84</xdr:row>
      <xdr:rowOff>7054</xdr:rowOff>
    </xdr:from>
    <xdr:to>
      <xdr:col>18</xdr:col>
      <xdr:colOff>599720</xdr:colOff>
      <xdr:row>93</xdr:row>
      <xdr:rowOff>7053</xdr:rowOff>
    </xdr:to>
    <xdr:sp macro="" textlink="">
      <xdr:nvSpPr>
        <xdr:cNvPr id="98" name="Line 23"/>
        <xdr:cNvSpPr>
          <a:spLocks noChangeShapeType="1"/>
        </xdr:cNvSpPr>
      </xdr:nvSpPr>
      <xdr:spPr bwMode="auto">
        <a:xfrm flipH="1" flipV="1">
          <a:off x="11084277" y="6173610"/>
          <a:ext cx="931332" cy="1904999"/>
        </a:xfrm>
        <a:prstGeom prst="line">
          <a:avLst/>
        </a:prstGeom>
        <a:noFill/>
        <a:ln w="15875">
          <a:solidFill>
            <a:srgbClr val="FF6600"/>
          </a:solidFill>
          <a:round/>
          <a:headEnd/>
          <a:tailEnd type="triangle" w="med" len="med"/>
        </a:ln>
      </xdr:spPr>
      <xdr:txBody>
        <a:bodyPr/>
        <a:lstStyle/>
        <a:p>
          <a:endParaRPr lang="ja-JP" altLang="en-US"/>
        </a:p>
      </xdr:txBody>
    </xdr:sp>
    <xdr:clientData/>
  </xdr:twoCellAnchor>
  <xdr:twoCellAnchor>
    <xdr:from>
      <xdr:col>17</xdr:col>
      <xdr:colOff>18348</xdr:colOff>
      <xdr:row>78</xdr:row>
      <xdr:rowOff>74788</xdr:rowOff>
    </xdr:from>
    <xdr:to>
      <xdr:col>18</xdr:col>
      <xdr:colOff>7056</xdr:colOff>
      <xdr:row>83</xdr:row>
      <xdr:rowOff>208844</xdr:rowOff>
    </xdr:to>
    <xdr:sp macro="" textlink="">
      <xdr:nvSpPr>
        <xdr:cNvPr id="99" name="AutoShape 3"/>
        <xdr:cNvSpPr>
          <a:spLocks noChangeArrowheads="1"/>
        </xdr:cNvSpPr>
      </xdr:nvSpPr>
      <xdr:spPr bwMode="auto">
        <a:xfrm>
          <a:off x="10601681" y="4921955"/>
          <a:ext cx="821264" cy="1241778"/>
        </a:xfrm>
        <a:prstGeom prst="roundRect">
          <a:avLst>
            <a:gd name="adj" fmla="val 16667"/>
          </a:avLst>
        </a:prstGeom>
        <a:noFill/>
        <a:ln w="15875" algn="ctr">
          <a:solidFill>
            <a:srgbClr val="FF6600"/>
          </a:solidFill>
          <a:round/>
          <a:headEnd/>
          <a:tailEnd/>
        </a:ln>
      </xdr:spPr>
    </xdr:sp>
    <xdr:clientData/>
  </xdr:twoCellAnchor>
  <xdr:twoCellAnchor>
    <xdr:from>
      <xdr:col>18</xdr:col>
      <xdr:colOff>29635</xdr:colOff>
      <xdr:row>78</xdr:row>
      <xdr:rowOff>79021</xdr:rowOff>
    </xdr:from>
    <xdr:to>
      <xdr:col>19</xdr:col>
      <xdr:colOff>7056</xdr:colOff>
      <xdr:row>84</xdr:row>
      <xdr:rowOff>1410</xdr:rowOff>
    </xdr:to>
    <xdr:sp macro="" textlink="">
      <xdr:nvSpPr>
        <xdr:cNvPr id="100" name="AutoShape 3"/>
        <xdr:cNvSpPr>
          <a:spLocks noChangeArrowheads="1"/>
        </xdr:cNvSpPr>
      </xdr:nvSpPr>
      <xdr:spPr bwMode="auto">
        <a:xfrm>
          <a:off x="11445524" y="4926188"/>
          <a:ext cx="718254" cy="1241778"/>
        </a:xfrm>
        <a:prstGeom prst="roundRect">
          <a:avLst>
            <a:gd name="adj" fmla="val 16667"/>
          </a:avLst>
        </a:prstGeom>
        <a:noFill/>
        <a:ln w="15875" algn="ctr">
          <a:solidFill>
            <a:srgbClr val="FF6600"/>
          </a:solidFill>
          <a:round/>
          <a:headEnd/>
          <a:tailEnd/>
        </a:ln>
      </xdr:spPr>
    </xdr:sp>
    <xdr:clientData/>
  </xdr:twoCellAnchor>
  <xdr:oneCellAnchor>
    <xdr:from>
      <xdr:col>20</xdr:col>
      <xdr:colOff>220132</xdr:colOff>
      <xdr:row>82</xdr:row>
      <xdr:rowOff>90714</xdr:rowOff>
    </xdr:from>
    <xdr:ext cx="2809725" cy="1001889"/>
    <xdr:sp macro="" textlink="">
      <xdr:nvSpPr>
        <xdr:cNvPr id="101" name="AutoShape 24"/>
        <xdr:cNvSpPr>
          <a:spLocks noChangeArrowheads="1"/>
        </xdr:cNvSpPr>
      </xdr:nvSpPr>
      <xdr:spPr bwMode="auto">
        <a:xfrm>
          <a:off x="13128775" y="6313714"/>
          <a:ext cx="2809725" cy="1001889"/>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・意図的に含有しているのか、不純物として</a:t>
          </a:r>
        </a:p>
        <a:p>
          <a:pPr rtl="0"/>
          <a:r>
            <a:rPr lang="ja-JP" altLang="en-US" sz="1100" b="0" i="0" baseline="0">
              <a:effectLst/>
              <a:latin typeface="+mn-lt"/>
              <a:ea typeface="+mn-ea"/>
              <a:cs typeface="+mn-cs"/>
            </a:rPr>
            <a:t>含有しているのかご記入をお願いします。</a:t>
          </a:r>
          <a:endParaRPr lang="en-US" altLang="ja-JP" sz="1100" b="0" i="0" baseline="0">
            <a:effectLst/>
            <a:latin typeface="+mn-lt"/>
            <a:ea typeface="+mn-ea"/>
            <a:cs typeface="+mn-cs"/>
          </a:endParaRPr>
        </a:p>
        <a:p>
          <a:pPr rtl="0"/>
          <a:r>
            <a:rPr lang="ja-JP" altLang="en-US" sz="1100" b="0" i="0" baseline="0">
              <a:effectLst/>
              <a:latin typeface="+mn-lt"/>
              <a:ea typeface="+mn-ea"/>
              <a:cs typeface="+mn-cs"/>
            </a:rPr>
            <a:t>・ドロップダウンリストからの選択も</a:t>
          </a:r>
        </a:p>
        <a:p>
          <a:pPr rtl="0"/>
          <a:r>
            <a:rPr lang="ja-JP" altLang="en-US" sz="1100" b="0" i="0" baseline="0">
              <a:effectLst/>
              <a:latin typeface="+mn-lt"/>
              <a:ea typeface="+mn-ea"/>
              <a:cs typeface="+mn-cs"/>
            </a:rPr>
            <a:t>  通常の入力も可能です。任意で選択ください。</a:t>
          </a:r>
        </a:p>
      </xdr:txBody>
    </xdr:sp>
    <xdr:clientData/>
  </xdr:oneCellAnchor>
  <xdr:twoCellAnchor>
    <xdr:from>
      <xdr:col>19</xdr:col>
      <xdr:colOff>12702</xdr:colOff>
      <xdr:row>78</xdr:row>
      <xdr:rowOff>90310</xdr:rowOff>
    </xdr:from>
    <xdr:to>
      <xdr:col>19</xdr:col>
      <xdr:colOff>730956</xdr:colOff>
      <xdr:row>84</xdr:row>
      <xdr:rowOff>12699</xdr:rowOff>
    </xdr:to>
    <xdr:sp macro="" textlink="">
      <xdr:nvSpPr>
        <xdr:cNvPr id="102" name="AutoShape 3"/>
        <xdr:cNvSpPr>
          <a:spLocks noChangeArrowheads="1"/>
        </xdr:cNvSpPr>
      </xdr:nvSpPr>
      <xdr:spPr bwMode="auto">
        <a:xfrm>
          <a:off x="12169424" y="4937477"/>
          <a:ext cx="718254" cy="1241778"/>
        </a:xfrm>
        <a:prstGeom prst="roundRect">
          <a:avLst>
            <a:gd name="adj" fmla="val 16667"/>
          </a:avLst>
        </a:prstGeom>
        <a:noFill/>
        <a:ln w="15875" algn="ctr">
          <a:solidFill>
            <a:srgbClr val="FF6600"/>
          </a:solidFill>
          <a:round/>
          <a:headEnd/>
          <a:tailEnd/>
        </a:ln>
      </xdr:spPr>
    </xdr:sp>
    <xdr:clientData/>
  </xdr:twoCellAnchor>
  <xdr:twoCellAnchor>
    <xdr:from>
      <xdr:col>19</xdr:col>
      <xdr:colOff>451555</xdr:colOff>
      <xdr:row>84</xdr:row>
      <xdr:rowOff>49389</xdr:rowOff>
    </xdr:from>
    <xdr:to>
      <xdr:col>20</xdr:col>
      <xdr:colOff>208642</xdr:colOff>
      <xdr:row>85</xdr:row>
      <xdr:rowOff>127000</xdr:rowOff>
    </xdr:to>
    <xdr:sp macro="" textlink="">
      <xdr:nvSpPr>
        <xdr:cNvPr id="103" name="Line 23"/>
        <xdr:cNvSpPr>
          <a:spLocks noChangeShapeType="1"/>
        </xdr:cNvSpPr>
      </xdr:nvSpPr>
      <xdr:spPr bwMode="auto">
        <a:xfrm flipH="1" flipV="1">
          <a:off x="12616341" y="6689675"/>
          <a:ext cx="500944" cy="286254"/>
        </a:xfrm>
        <a:prstGeom prst="line">
          <a:avLst/>
        </a:prstGeom>
        <a:noFill/>
        <a:ln w="15875">
          <a:solidFill>
            <a:schemeClr val="accent6">
              <a:lumMod val="75000"/>
            </a:schemeClr>
          </a:solidFill>
          <a:round/>
          <a:headEnd/>
          <a:tailEnd type="triangle" w="med" len="med"/>
        </a:ln>
      </xdr:spPr>
    </xdr:sp>
    <xdr:clientData/>
  </xdr:twoCellAnchor>
  <xdr:oneCellAnchor>
    <xdr:from>
      <xdr:col>18</xdr:col>
      <xdr:colOff>475141</xdr:colOff>
      <xdr:row>88</xdr:row>
      <xdr:rowOff>49388</xdr:rowOff>
    </xdr:from>
    <xdr:ext cx="3031470" cy="567264"/>
    <xdr:sp macro="" textlink="">
      <xdr:nvSpPr>
        <xdr:cNvPr id="104" name="AutoShape 24"/>
        <xdr:cNvSpPr>
          <a:spLocks noChangeArrowheads="1"/>
        </xdr:cNvSpPr>
      </xdr:nvSpPr>
      <xdr:spPr bwMode="auto">
        <a:xfrm>
          <a:off x="11891030" y="7062610"/>
          <a:ext cx="3031470" cy="567264"/>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a:t>
          </a:r>
          <a:r>
            <a:rPr lang="en-US" altLang="ja-JP" sz="1100" b="0" i="0" baseline="0">
              <a:effectLst/>
              <a:latin typeface="+mn-lt"/>
              <a:ea typeface="+mn-ea"/>
              <a:cs typeface="+mn-cs"/>
            </a:rPr>
            <a:t>RoHS</a:t>
          </a:r>
          <a:r>
            <a:rPr lang="ja-JP" altLang="en-US" sz="1100" b="0" i="0" baseline="0">
              <a:effectLst/>
              <a:latin typeface="+mn-lt"/>
              <a:ea typeface="+mn-ea"/>
              <a:cs typeface="+mn-cs"/>
            </a:rPr>
            <a:t>指令の適用除外用途に該当する場合は</a:t>
          </a:r>
          <a:endParaRPr lang="en-US" altLang="ja-JP" sz="1100" b="0" i="0" baseline="0">
            <a:effectLst/>
            <a:latin typeface="+mn-lt"/>
            <a:ea typeface="+mn-ea"/>
            <a:cs typeface="+mn-cs"/>
          </a:endParaRPr>
        </a:p>
        <a:p>
          <a:pPr rtl="0"/>
          <a:r>
            <a:rPr lang="ja-JP" altLang="en-US" sz="1100" b="0" i="0" baseline="0">
              <a:effectLst/>
              <a:latin typeface="+mn-lt"/>
              <a:ea typeface="+mn-ea"/>
              <a:cs typeface="+mn-cs"/>
            </a:rPr>
            <a:t>その適用除外番号を記入してください。</a:t>
          </a:r>
        </a:p>
      </xdr:txBody>
    </xdr:sp>
    <xdr:clientData/>
  </xdr:oneCellAnchor>
  <xdr:twoCellAnchor>
    <xdr:from>
      <xdr:col>18</xdr:col>
      <xdr:colOff>402166</xdr:colOff>
      <xdr:row>84</xdr:row>
      <xdr:rowOff>14111</xdr:rowOff>
    </xdr:from>
    <xdr:to>
      <xdr:col>19</xdr:col>
      <xdr:colOff>141110</xdr:colOff>
      <xdr:row>87</xdr:row>
      <xdr:rowOff>204611</xdr:rowOff>
    </xdr:to>
    <xdr:sp macro="" textlink="">
      <xdr:nvSpPr>
        <xdr:cNvPr id="105" name="Line 23"/>
        <xdr:cNvSpPr>
          <a:spLocks noChangeShapeType="1"/>
        </xdr:cNvSpPr>
      </xdr:nvSpPr>
      <xdr:spPr bwMode="auto">
        <a:xfrm flipH="1" flipV="1">
          <a:off x="11818055" y="6180667"/>
          <a:ext cx="479777" cy="825500"/>
        </a:xfrm>
        <a:prstGeom prst="line">
          <a:avLst/>
        </a:prstGeom>
        <a:noFill/>
        <a:ln w="15875">
          <a:solidFill>
            <a:schemeClr val="accent6">
              <a:lumMod val="75000"/>
            </a:schemeClr>
          </a:solidFill>
          <a:round/>
          <a:headEnd/>
          <a:tailEnd type="triangle" w="med" len="med"/>
        </a:ln>
      </xdr:spPr>
    </xdr:sp>
    <xdr:clientData/>
  </xdr:twoCellAnchor>
  <xdr:oneCellAnchor>
    <xdr:from>
      <xdr:col>13</xdr:col>
      <xdr:colOff>56446</xdr:colOff>
      <xdr:row>88</xdr:row>
      <xdr:rowOff>126999</xdr:rowOff>
    </xdr:from>
    <xdr:ext cx="3739444" cy="1227667"/>
    <xdr:sp macro="" textlink="">
      <xdr:nvSpPr>
        <xdr:cNvPr id="80" name="AutoShape 24"/>
        <xdr:cNvSpPr>
          <a:spLocks noChangeArrowheads="1"/>
        </xdr:cNvSpPr>
      </xdr:nvSpPr>
      <xdr:spPr bwMode="auto">
        <a:xfrm>
          <a:off x="7253113" y="7140221"/>
          <a:ext cx="3739444" cy="1227667"/>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a:t>
          </a:r>
          <a:r>
            <a:rPr lang="ja-JP" altLang="ja-JP" sz="1100" b="0" i="0" baseline="0">
              <a:effectLst/>
              <a:latin typeface="+mn-lt"/>
              <a:ea typeface="+mn-ea"/>
              <a:cs typeface="+mn-cs"/>
            </a:rPr>
            <a:t>物質名</a:t>
          </a:r>
          <a:r>
            <a:rPr lang="ja-JP" altLang="en-US" sz="1100" b="0" i="0" baseline="0">
              <a:effectLst/>
              <a:latin typeface="+mn-lt"/>
              <a:ea typeface="+mn-ea"/>
              <a:cs typeface="+mn-cs"/>
            </a:rPr>
            <a:t>と対になる</a:t>
          </a:r>
          <a:r>
            <a:rPr lang="en-US" altLang="ja-JP" sz="1100" b="0" i="0" baseline="0">
              <a:effectLst/>
              <a:latin typeface="+mn-lt"/>
              <a:ea typeface="+mn-ea"/>
              <a:cs typeface="+mn-cs"/>
            </a:rPr>
            <a:t>CAS</a:t>
          </a:r>
          <a:r>
            <a:rPr lang="ja-JP" altLang="en-US" sz="1100" b="0" i="0" baseline="0">
              <a:effectLst/>
              <a:latin typeface="+mn-lt"/>
              <a:ea typeface="+mn-ea"/>
              <a:cs typeface="+mn-cs"/>
            </a:rPr>
            <a:t>番号</a:t>
          </a:r>
          <a:r>
            <a:rPr lang="ja-JP" altLang="ja-JP" sz="1100" b="0" i="0" baseline="0">
              <a:effectLst/>
              <a:latin typeface="+mn-lt"/>
              <a:ea typeface="+mn-ea"/>
              <a:cs typeface="+mn-cs"/>
            </a:rPr>
            <a:t>を記入願います。</a:t>
          </a:r>
          <a:endParaRPr lang="ja-JP" altLang="ja-JP">
            <a:effectLst/>
          </a:endParaRPr>
        </a:p>
        <a:p>
          <a:pPr rtl="0"/>
          <a:r>
            <a:rPr lang="ja-JP" altLang="en-US" sz="1100" b="0" i="0" baseline="0">
              <a:effectLst/>
              <a:latin typeface="+mn-lt"/>
              <a:ea typeface="+mn-ea"/>
              <a:cs typeface="+mn-cs"/>
            </a:rPr>
            <a:t>　</a:t>
          </a:r>
          <a:r>
            <a:rPr lang="ja-JP" altLang="ja-JP" sz="1100" b="0" i="0" baseline="0">
              <a:effectLst/>
              <a:latin typeface="+mn-lt"/>
              <a:ea typeface="+mn-ea"/>
              <a:cs typeface="+mn-cs"/>
            </a:rPr>
            <a:t>社外秘内容が含まれるようでしたら、</a:t>
          </a:r>
          <a:r>
            <a:rPr lang="ja-JP" altLang="en-US" sz="1100" b="0" i="0" baseline="0">
              <a:effectLst/>
              <a:latin typeface="+mn-lt"/>
              <a:ea typeface="+mn-ea"/>
              <a:cs typeface="+mn-cs"/>
            </a:rPr>
            <a:t>物質名の</a:t>
          </a:r>
          <a:r>
            <a:rPr lang="ja-JP" altLang="ja-JP" sz="1100" b="0" i="0" baseline="0">
              <a:effectLst/>
              <a:latin typeface="+mn-lt"/>
              <a:ea typeface="+mn-ea"/>
              <a:cs typeface="+mn-cs"/>
            </a:rPr>
            <a:t>欄に</a:t>
          </a:r>
          <a:endParaRPr lang="ja-JP" altLang="ja-JP">
            <a:effectLst/>
          </a:endParaRPr>
        </a:p>
        <a:p>
          <a:pPr rtl="0"/>
          <a:r>
            <a:rPr lang="ja-JP" altLang="en-US" sz="1100" b="0" i="0" baseline="0">
              <a:effectLst/>
              <a:latin typeface="+mn-lt"/>
              <a:ea typeface="+mn-ea"/>
              <a:cs typeface="+mn-cs"/>
            </a:rPr>
            <a:t>　</a:t>
          </a:r>
          <a:r>
            <a:rPr lang="ja-JP" altLang="ja-JP" sz="1100" b="0" i="0" baseline="0">
              <a:effectLst/>
              <a:latin typeface="+mn-lt"/>
              <a:ea typeface="+mn-ea"/>
              <a:cs typeface="+mn-cs"/>
            </a:rPr>
            <a:t>”社外秘”と記入をお願い致します。</a:t>
          </a:r>
          <a:endParaRPr lang="en-US" altLang="ja-JP" sz="1100" b="0" i="0" baseline="0">
            <a:effectLst/>
            <a:latin typeface="+mn-lt"/>
            <a:ea typeface="+mn-ea"/>
            <a:cs typeface="+mn-cs"/>
          </a:endParaRPr>
        </a:p>
        <a:p>
          <a:pPr rtl="0"/>
          <a:r>
            <a:rPr lang="ja-JP" altLang="en-US" sz="1100" b="0" i="0" baseline="0">
              <a:effectLst/>
              <a:latin typeface="+mn-lt"/>
              <a:ea typeface="+mn-ea"/>
              <a:cs typeface="+mn-cs"/>
            </a:rPr>
            <a:t>・</a:t>
          </a:r>
          <a:r>
            <a:rPr lang="ja-JP" altLang="ja-JP" sz="1100" b="0" i="0" baseline="0">
              <a:effectLst/>
              <a:latin typeface="+mn-lt"/>
              <a:ea typeface="+mn-ea"/>
              <a:cs typeface="+mn-cs"/>
            </a:rPr>
            <a:t>部位毎の物質の含有率の記入をお願い致します。</a:t>
          </a:r>
          <a:endParaRPr lang="ja-JP" altLang="ja-JP">
            <a:effectLst/>
          </a:endParaRPr>
        </a:p>
        <a:p>
          <a:pPr rtl="0"/>
          <a:r>
            <a:rPr lang="ja-JP" altLang="ja-JP" sz="1100" b="0" i="0" baseline="0">
              <a:effectLst/>
              <a:latin typeface="+mn-lt"/>
              <a:ea typeface="+mn-ea"/>
              <a:cs typeface="+mn-cs"/>
            </a:rPr>
            <a:t>（部位毎に合計含有率が</a:t>
          </a:r>
          <a:r>
            <a:rPr lang="en-US" altLang="ja-JP" sz="1100" b="0" i="0" baseline="0">
              <a:effectLst/>
              <a:latin typeface="+mn-lt"/>
              <a:ea typeface="+mn-ea"/>
              <a:cs typeface="+mn-cs"/>
            </a:rPr>
            <a:t>100%</a:t>
          </a:r>
          <a:r>
            <a:rPr lang="ja-JP" altLang="ja-JP" sz="1100" b="0" i="0" baseline="0">
              <a:effectLst/>
              <a:latin typeface="+mn-lt"/>
              <a:ea typeface="+mn-ea"/>
              <a:cs typeface="+mn-cs"/>
            </a:rPr>
            <a:t>にならなければなりません。）</a:t>
          </a:r>
          <a:endParaRPr lang="ja-JP" altLang="ja-JP">
            <a:effectLst/>
          </a:endParaRPr>
        </a:p>
      </xdr:txBody>
    </xdr:sp>
    <xdr:clientData/>
  </xdr:oneCellAnchor>
  <xdr:twoCellAnchor>
    <xdr:from>
      <xdr:col>13</xdr:col>
      <xdr:colOff>934357</xdr:colOff>
      <xdr:row>103</xdr:row>
      <xdr:rowOff>28222</xdr:rowOff>
    </xdr:from>
    <xdr:to>
      <xdr:col>16</xdr:col>
      <xdr:colOff>98776</xdr:colOff>
      <xdr:row>108</xdr:row>
      <xdr:rowOff>72571</xdr:rowOff>
    </xdr:to>
    <xdr:sp macro="" textlink="">
      <xdr:nvSpPr>
        <xdr:cNvPr id="58" name="Line 23"/>
        <xdr:cNvSpPr>
          <a:spLocks noChangeShapeType="1"/>
        </xdr:cNvSpPr>
      </xdr:nvSpPr>
      <xdr:spPr bwMode="auto">
        <a:xfrm flipV="1">
          <a:off x="8128000" y="10378722"/>
          <a:ext cx="1949347" cy="1114778"/>
        </a:xfrm>
        <a:prstGeom prst="line">
          <a:avLst/>
        </a:prstGeom>
        <a:noFill/>
        <a:ln w="15875">
          <a:solidFill>
            <a:srgbClr val="FF6600"/>
          </a:solidFill>
          <a:round/>
          <a:headEnd/>
          <a:tailEnd type="triangle" w="med" len="med"/>
        </a:ln>
      </xdr:spPr>
    </xdr:sp>
    <xdr:clientData/>
  </xdr:twoCellAnchor>
  <xdr:twoCellAnchor>
    <xdr:from>
      <xdr:col>12</xdr:col>
      <xdr:colOff>218722</xdr:colOff>
      <xdr:row>103</xdr:row>
      <xdr:rowOff>63500</xdr:rowOff>
    </xdr:from>
    <xdr:to>
      <xdr:col>13</xdr:col>
      <xdr:colOff>108857</xdr:colOff>
      <xdr:row>108</xdr:row>
      <xdr:rowOff>36285</xdr:rowOff>
    </xdr:to>
    <xdr:sp macro="" textlink="">
      <xdr:nvSpPr>
        <xdr:cNvPr id="63" name="Line 23"/>
        <xdr:cNvSpPr>
          <a:spLocks noChangeShapeType="1"/>
        </xdr:cNvSpPr>
      </xdr:nvSpPr>
      <xdr:spPr bwMode="auto">
        <a:xfrm flipH="1" flipV="1">
          <a:off x="6804579" y="10414000"/>
          <a:ext cx="497921" cy="1043214"/>
        </a:xfrm>
        <a:prstGeom prst="line">
          <a:avLst/>
        </a:prstGeom>
        <a:noFill/>
        <a:ln w="15875">
          <a:solidFill>
            <a:srgbClr val="FF6600"/>
          </a:solidFill>
          <a:round/>
          <a:headEnd/>
          <a:tailEnd type="triangle" w="med" len="med"/>
        </a:ln>
      </xdr:spPr>
    </xdr:sp>
    <xdr:clientData/>
  </xdr:twoCellAnchor>
  <xdr:twoCellAnchor>
    <xdr:from>
      <xdr:col>2</xdr:col>
      <xdr:colOff>112889</xdr:colOff>
      <xdr:row>23</xdr:row>
      <xdr:rowOff>155222</xdr:rowOff>
    </xdr:from>
    <xdr:to>
      <xdr:col>3</xdr:col>
      <xdr:colOff>239889</xdr:colOff>
      <xdr:row>24</xdr:row>
      <xdr:rowOff>84667</xdr:rowOff>
    </xdr:to>
    <xdr:sp macro="" textlink="">
      <xdr:nvSpPr>
        <xdr:cNvPr id="71" name="Line 23"/>
        <xdr:cNvSpPr>
          <a:spLocks noChangeShapeType="1"/>
        </xdr:cNvSpPr>
      </xdr:nvSpPr>
      <xdr:spPr bwMode="auto">
        <a:xfrm flipV="1">
          <a:off x="1425222" y="4635500"/>
          <a:ext cx="733778" cy="169334"/>
        </a:xfrm>
        <a:prstGeom prst="line">
          <a:avLst/>
        </a:prstGeom>
        <a:noFill/>
        <a:ln w="15875">
          <a:solidFill>
            <a:schemeClr val="accent6">
              <a:lumMod val="75000"/>
            </a:schemeClr>
          </a:solidFill>
          <a:round/>
          <a:headEnd/>
          <a:tailEnd type="triangle" w="med" len="med"/>
        </a:ln>
      </xdr:spPr>
    </xdr:sp>
    <xdr:clientData/>
  </xdr:twoCellAnchor>
  <xdr:oneCellAnchor>
    <xdr:from>
      <xdr:col>0</xdr:col>
      <xdr:colOff>188688</xdr:colOff>
      <xdr:row>24</xdr:row>
      <xdr:rowOff>42334</xdr:rowOff>
    </xdr:from>
    <xdr:ext cx="2499479" cy="282221"/>
    <xdr:sp macro="" textlink="">
      <xdr:nvSpPr>
        <xdr:cNvPr id="70" name="AutoShape 24"/>
        <xdr:cNvSpPr>
          <a:spLocks noChangeArrowheads="1"/>
        </xdr:cNvSpPr>
      </xdr:nvSpPr>
      <xdr:spPr bwMode="auto">
        <a:xfrm>
          <a:off x="188688" y="4762501"/>
          <a:ext cx="2499479" cy="28222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ja-JP" altLang="en-US">
              <a:effectLst/>
            </a:rPr>
            <a:t>最初に製品の重量を入力してください。</a:t>
          </a:r>
          <a:endParaRPr lang="ja-JP" altLang="ja-JP">
            <a:effectLst/>
          </a:endParaRPr>
        </a:p>
      </xdr:txBody>
    </xdr:sp>
    <xdr:clientData/>
  </xdr:oneCellAnchor>
  <xdr:oneCellAnchor>
    <xdr:from>
      <xdr:col>8</xdr:col>
      <xdr:colOff>384429</xdr:colOff>
      <xdr:row>107</xdr:row>
      <xdr:rowOff>111276</xdr:rowOff>
    </xdr:from>
    <xdr:ext cx="3554586" cy="506590"/>
    <xdr:sp macro="" textlink="">
      <xdr:nvSpPr>
        <xdr:cNvPr id="60" name="AutoShape 24"/>
        <xdr:cNvSpPr>
          <a:spLocks noChangeArrowheads="1"/>
        </xdr:cNvSpPr>
      </xdr:nvSpPr>
      <xdr:spPr bwMode="auto">
        <a:xfrm>
          <a:off x="5482572" y="11332633"/>
          <a:ext cx="3554586" cy="506590"/>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・最終的に３か所の数値が同じになることを確認ください。</a:t>
          </a:r>
          <a:endParaRPr lang="en-US" altLang="ja-JP" sz="1100" b="0" i="0" baseline="0">
            <a:effectLst/>
            <a:latin typeface="+mn-lt"/>
            <a:ea typeface="+mn-ea"/>
            <a:cs typeface="+mn-cs"/>
          </a:endParaRPr>
        </a:p>
      </xdr:txBody>
    </xdr:sp>
    <xdr:clientData/>
  </xdr:oneCellAnchor>
  <xdr:oneCellAnchor>
    <xdr:from>
      <xdr:col>17</xdr:col>
      <xdr:colOff>524331</xdr:colOff>
      <xdr:row>20</xdr:row>
      <xdr:rowOff>154214</xdr:rowOff>
    </xdr:from>
    <xdr:ext cx="3630384" cy="480785"/>
    <xdr:sp macro="" textlink="">
      <xdr:nvSpPr>
        <xdr:cNvPr id="42" name="AutoShape 24"/>
        <xdr:cNvSpPr>
          <a:spLocks noChangeArrowheads="1"/>
        </xdr:cNvSpPr>
      </xdr:nvSpPr>
      <xdr:spPr bwMode="auto">
        <a:xfrm>
          <a:off x="11110688" y="4372428"/>
          <a:ext cx="3630384" cy="480785"/>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ja-JP" altLang="en-US">
              <a:effectLst/>
            </a:rPr>
            <a:t>ミネベアミツミ株式会社またはミツミ電機株式会社の</a:t>
          </a:r>
          <a:endParaRPr lang="en-US" altLang="ja-JP">
            <a:effectLst/>
          </a:endParaRPr>
        </a:p>
        <a:p>
          <a:pPr rtl="0"/>
          <a:r>
            <a:rPr lang="ja-JP" altLang="en-US">
              <a:effectLst/>
            </a:rPr>
            <a:t>品名、品番、図番等を分かる範囲で記入ください。</a:t>
          </a:r>
          <a:endParaRPr lang="ja-JP" altLang="ja-JP">
            <a:effectLst/>
          </a:endParaRPr>
        </a:p>
      </xdr:txBody>
    </xdr:sp>
    <xdr:clientData/>
  </xdr:oneCellAnchor>
  <xdr:oneCellAnchor>
    <xdr:from>
      <xdr:col>17</xdr:col>
      <xdr:colOff>567872</xdr:colOff>
      <xdr:row>17</xdr:row>
      <xdr:rowOff>102507</xdr:rowOff>
    </xdr:from>
    <xdr:ext cx="3350986" cy="478064"/>
    <xdr:sp macro="" textlink="">
      <xdr:nvSpPr>
        <xdr:cNvPr id="39" name="AutoShape 24"/>
        <xdr:cNvSpPr>
          <a:spLocks noChangeArrowheads="1"/>
        </xdr:cNvSpPr>
      </xdr:nvSpPr>
      <xdr:spPr bwMode="auto">
        <a:xfrm>
          <a:off x="11154229" y="3767364"/>
          <a:ext cx="3350986" cy="478064"/>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ja-JP" altLang="en-US">
              <a:effectLst/>
            </a:rPr>
            <a:t>お取引先様の品名、品番、図番等を記入ください。</a:t>
          </a:r>
          <a:endParaRPr lang="en-US" altLang="ja-JP">
            <a:effectLst/>
          </a:endParaRPr>
        </a:p>
        <a:p>
          <a:pPr rtl="0"/>
          <a:r>
            <a:rPr lang="ja-JP" altLang="en-US">
              <a:effectLst/>
            </a:rPr>
            <a:t>代理店様の場合は商品のメーカー名を記入ください。</a:t>
          </a:r>
          <a:endParaRPr lang="ja-JP" altLang="ja-JP">
            <a:effectLst/>
          </a:endParaRPr>
        </a:p>
      </xdr:txBody>
    </xdr:sp>
    <xdr:clientData/>
  </xdr:oneCellAnchor>
  <xdr:oneCellAnchor>
    <xdr:from>
      <xdr:col>0</xdr:col>
      <xdr:colOff>72571</xdr:colOff>
      <xdr:row>0</xdr:row>
      <xdr:rowOff>108857</xdr:rowOff>
    </xdr:from>
    <xdr:ext cx="10123714" cy="390070"/>
    <xdr:sp macro="" textlink="">
      <xdr:nvSpPr>
        <xdr:cNvPr id="69" name="AutoShape 24"/>
        <xdr:cNvSpPr>
          <a:spLocks noChangeArrowheads="1"/>
        </xdr:cNvSpPr>
      </xdr:nvSpPr>
      <xdr:spPr bwMode="auto">
        <a:xfrm>
          <a:off x="72571" y="108857"/>
          <a:ext cx="10123714" cy="390070"/>
        </a:xfrm>
        <a:prstGeom prst="roundRect">
          <a:avLst>
            <a:gd name="adj" fmla="val 16667"/>
          </a:avLst>
        </a:prstGeom>
        <a:solidFill>
          <a:schemeClr val="accent5">
            <a:lumMod val="40000"/>
            <a:lumOff val="6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a:effectLst/>
            </a:rPr>
            <a:t>報告する部位が</a:t>
          </a:r>
          <a:r>
            <a:rPr lang="en-US" altLang="ja-JP">
              <a:effectLst/>
            </a:rPr>
            <a:t>20</a:t>
          </a:r>
          <a:r>
            <a:rPr lang="ja-JP" altLang="en-US">
              <a:effectLst/>
            </a:rPr>
            <a:t>以下の場合は”</a:t>
          </a:r>
          <a:r>
            <a:rPr lang="en-US" altLang="ja-JP">
              <a:effectLst/>
            </a:rPr>
            <a:t>Survey Report for 20 Regions</a:t>
          </a:r>
          <a:r>
            <a:rPr lang="ja-JP" altLang="en-US">
              <a:effectLst/>
            </a:rPr>
            <a:t>”のシートを使用してください。</a:t>
          </a:r>
          <a:r>
            <a:rPr lang="en-US" altLang="ja-JP">
              <a:effectLst/>
            </a:rPr>
            <a:t>20</a:t>
          </a:r>
          <a:r>
            <a:rPr lang="ja-JP" altLang="en-US">
              <a:effectLst/>
            </a:rPr>
            <a:t>を超える場合は</a:t>
          </a:r>
          <a:r>
            <a:rPr lang="ja-JP" altLang="ja-JP" sz="1100">
              <a:effectLst/>
              <a:latin typeface="+mn-lt"/>
              <a:ea typeface="+mn-ea"/>
              <a:cs typeface="+mn-cs"/>
            </a:rPr>
            <a:t>”</a:t>
          </a:r>
          <a:r>
            <a:rPr lang="en-US" altLang="ja-JP" sz="1100">
              <a:effectLst/>
              <a:latin typeface="+mn-lt"/>
              <a:ea typeface="+mn-ea"/>
              <a:cs typeface="+mn-cs"/>
            </a:rPr>
            <a:t>Survey Report for 60 Regions</a:t>
          </a:r>
          <a:r>
            <a:rPr lang="ja-JP" altLang="ja-JP" sz="1100">
              <a:effectLst/>
              <a:latin typeface="+mn-lt"/>
              <a:ea typeface="+mn-ea"/>
              <a:cs typeface="+mn-cs"/>
            </a:rPr>
            <a:t>”</a:t>
          </a:r>
          <a:r>
            <a:rPr lang="ja-JP" altLang="en-US" sz="1100">
              <a:effectLst/>
              <a:latin typeface="+mn-lt"/>
              <a:ea typeface="+mn-ea"/>
              <a:cs typeface="+mn-cs"/>
            </a:rPr>
            <a:t>のシートをを使用してください。</a:t>
          </a:r>
          <a:endParaRPr lang="ja-JP" altLang="ja-JP">
            <a:effectLst/>
          </a:endParaRPr>
        </a:p>
      </xdr:txBody>
    </xdr:sp>
    <xdr:clientData/>
  </xdr:oneCellAnchor>
  <xdr:oneCellAnchor>
    <xdr:from>
      <xdr:col>16</xdr:col>
      <xdr:colOff>346984</xdr:colOff>
      <xdr:row>4</xdr:row>
      <xdr:rowOff>99785</xdr:rowOff>
    </xdr:from>
    <xdr:ext cx="4606016" cy="396875"/>
    <xdr:sp macro="" textlink="">
      <xdr:nvSpPr>
        <xdr:cNvPr id="55" name="AutoShape 24"/>
        <xdr:cNvSpPr>
          <a:spLocks noChangeArrowheads="1"/>
        </xdr:cNvSpPr>
      </xdr:nvSpPr>
      <xdr:spPr bwMode="auto">
        <a:xfrm>
          <a:off x="10325555" y="816428"/>
          <a:ext cx="4606016" cy="396875"/>
        </a:xfrm>
        <a:prstGeom prst="roundRect">
          <a:avLst>
            <a:gd name="adj" fmla="val 16667"/>
          </a:avLst>
        </a:prstGeom>
        <a:solidFill>
          <a:schemeClr val="accent3">
            <a:lumMod val="60000"/>
            <a:lumOff val="40000"/>
          </a:schemeClr>
        </a:solidFill>
        <a:ln w="15875" algn="ctr">
          <a:solidFill>
            <a:srgbClr val="FF0000"/>
          </a:solidFill>
          <a:round/>
          <a:headEnd/>
          <a:tailEnd/>
        </a:ln>
        <a:effectLst/>
      </xdr:spPr>
      <xdr:txBody>
        <a:bodyPr wrap="none" lIns="18288" tIns="18288" rIns="0" bIns="0" anchor="t" upright="1">
          <a:noAutofit/>
        </a:bodyPr>
        <a:lstStyle/>
        <a:p>
          <a:pPr rtl="0"/>
          <a:r>
            <a:rPr lang="ja-JP" altLang="en-US">
              <a:effectLst/>
            </a:rPr>
            <a:t>ミネベアミツミ株式会社またはミツミ電機株式会社が必要に応じ、記入します。</a:t>
          </a:r>
          <a:endParaRPr lang="en-US" altLang="ja-JP">
            <a:effectLst/>
          </a:endParaRPr>
        </a:p>
        <a:p>
          <a:pPr rtl="0"/>
          <a:endParaRPr lang="ja-JP" altLang="ja-JP">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888999</xdr:colOff>
      <xdr:row>23</xdr:row>
      <xdr:rowOff>204611</xdr:rowOff>
    </xdr:from>
    <xdr:to>
      <xdr:col>8</xdr:col>
      <xdr:colOff>616857</xdr:colOff>
      <xdr:row>108</xdr:row>
      <xdr:rowOff>54428</xdr:rowOff>
    </xdr:to>
    <xdr:sp macro="" textlink="">
      <xdr:nvSpPr>
        <xdr:cNvPr id="2" name="Line 23"/>
        <xdr:cNvSpPr>
          <a:spLocks noChangeShapeType="1"/>
        </xdr:cNvSpPr>
      </xdr:nvSpPr>
      <xdr:spPr bwMode="auto">
        <a:xfrm flipH="1" flipV="1">
          <a:off x="2800349" y="5106811"/>
          <a:ext cx="2902858" cy="6752267"/>
        </a:xfrm>
        <a:prstGeom prst="line">
          <a:avLst/>
        </a:prstGeom>
        <a:noFill/>
        <a:ln w="15875">
          <a:solidFill>
            <a:srgbClr val="FF6600"/>
          </a:solidFill>
          <a:round/>
          <a:headEnd/>
          <a:tailEnd type="triangle" w="med" len="med"/>
        </a:ln>
      </xdr:spPr>
    </xdr:sp>
    <xdr:clientData/>
  </xdr:twoCellAnchor>
  <xdr:twoCellAnchor>
    <xdr:from>
      <xdr:col>0</xdr:col>
      <xdr:colOff>136978</xdr:colOff>
      <xdr:row>8</xdr:row>
      <xdr:rowOff>238579</xdr:rowOff>
    </xdr:from>
    <xdr:to>
      <xdr:col>8</xdr:col>
      <xdr:colOff>45356</xdr:colOff>
      <xdr:row>11</xdr:row>
      <xdr:rowOff>40368</xdr:rowOff>
    </xdr:to>
    <xdr:sp macro="" textlink="">
      <xdr:nvSpPr>
        <xdr:cNvPr id="3" name="AutoShape 3"/>
        <xdr:cNvSpPr>
          <a:spLocks noChangeArrowheads="1"/>
        </xdr:cNvSpPr>
      </xdr:nvSpPr>
      <xdr:spPr bwMode="auto">
        <a:xfrm>
          <a:off x="136978" y="1857829"/>
          <a:ext cx="4994728" cy="525689"/>
        </a:xfrm>
        <a:prstGeom prst="roundRect">
          <a:avLst>
            <a:gd name="adj" fmla="val 16667"/>
          </a:avLst>
        </a:prstGeom>
        <a:noFill/>
        <a:ln w="15875" algn="ctr">
          <a:solidFill>
            <a:srgbClr val="FF6600"/>
          </a:solidFill>
          <a:round/>
          <a:headEnd/>
          <a:tailEnd/>
        </a:ln>
      </xdr:spPr>
    </xdr:sp>
    <xdr:clientData/>
  </xdr:twoCellAnchor>
  <xdr:twoCellAnchor>
    <xdr:from>
      <xdr:col>8</xdr:col>
      <xdr:colOff>36284</xdr:colOff>
      <xdr:row>7</xdr:row>
      <xdr:rowOff>217713</xdr:rowOff>
    </xdr:from>
    <xdr:to>
      <xdr:col>9</xdr:col>
      <xdr:colOff>235855</xdr:colOff>
      <xdr:row>9</xdr:row>
      <xdr:rowOff>54429</xdr:rowOff>
    </xdr:to>
    <xdr:sp macro="" textlink="">
      <xdr:nvSpPr>
        <xdr:cNvPr id="4" name="Line 23"/>
        <xdr:cNvSpPr>
          <a:spLocks noChangeShapeType="1"/>
        </xdr:cNvSpPr>
      </xdr:nvSpPr>
      <xdr:spPr bwMode="auto">
        <a:xfrm flipH="1">
          <a:off x="5122634" y="1595663"/>
          <a:ext cx="1082221" cy="319316"/>
        </a:xfrm>
        <a:prstGeom prst="line">
          <a:avLst/>
        </a:prstGeom>
        <a:noFill/>
        <a:ln w="15875">
          <a:solidFill>
            <a:srgbClr val="FF6600"/>
          </a:solidFill>
          <a:round/>
          <a:headEnd/>
          <a:tailEnd type="triangle" w="med" len="med"/>
        </a:ln>
      </xdr:spPr>
    </xdr:sp>
    <xdr:clientData/>
  </xdr:twoCellAnchor>
  <xdr:twoCellAnchor>
    <xdr:from>
      <xdr:col>13</xdr:col>
      <xdr:colOff>81644</xdr:colOff>
      <xdr:row>15</xdr:row>
      <xdr:rowOff>201838</xdr:rowOff>
    </xdr:from>
    <xdr:to>
      <xdr:col>17</xdr:col>
      <xdr:colOff>103870</xdr:colOff>
      <xdr:row>17</xdr:row>
      <xdr:rowOff>18143</xdr:rowOff>
    </xdr:to>
    <xdr:sp macro="" textlink="">
      <xdr:nvSpPr>
        <xdr:cNvPr id="5" name="AutoShape 3"/>
        <xdr:cNvSpPr>
          <a:spLocks noChangeArrowheads="1"/>
        </xdr:cNvSpPr>
      </xdr:nvSpPr>
      <xdr:spPr bwMode="auto">
        <a:xfrm>
          <a:off x="7257144" y="3345088"/>
          <a:ext cx="3400426" cy="298905"/>
        </a:xfrm>
        <a:prstGeom prst="roundRect">
          <a:avLst>
            <a:gd name="adj" fmla="val 16667"/>
          </a:avLst>
        </a:prstGeom>
        <a:noFill/>
        <a:ln w="15875" algn="ctr">
          <a:solidFill>
            <a:schemeClr val="accent6">
              <a:lumMod val="75000"/>
            </a:schemeClr>
          </a:solidFill>
          <a:round/>
          <a:headEnd/>
          <a:tailEnd/>
        </a:ln>
      </xdr:spPr>
    </xdr:sp>
    <xdr:clientData/>
  </xdr:twoCellAnchor>
  <xdr:oneCellAnchor>
    <xdr:from>
      <xdr:col>18</xdr:col>
      <xdr:colOff>175077</xdr:colOff>
      <xdr:row>12</xdr:row>
      <xdr:rowOff>90261</xdr:rowOff>
    </xdr:from>
    <xdr:ext cx="1076780" cy="290740"/>
    <xdr:sp macro="" textlink="">
      <xdr:nvSpPr>
        <xdr:cNvPr id="6" name="AutoShape 24"/>
        <xdr:cNvSpPr>
          <a:spLocks noChangeArrowheads="1"/>
        </xdr:cNvSpPr>
      </xdr:nvSpPr>
      <xdr:spPr bwMode="auto">
        <a:xfrm>
          <a:off x="11596006" y="2584904"/>
          <a:ext cx="1076780" cy="290740"/>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en-US" altLang="ja-JP" sz="1100" b="0" i="0" baseline="0">
              <a:effectLst/>
              <a:latin typeface="+mn-lt"/>
              <a:ea typeface="+mn-ea"/>
              <a:cs typeface="+mn-cs"/>
            </a:rPr>
            <a:t>Please fill in it .</a:t>
          </a:r>
          <a:endParaRPr lang="ja-JP" altLang="ja-JP">
            <a:effectLst/>
          </a:endParaRPr>
        </a:p>
      </xdr:txBody>
    </xdr:sp>
    <xdr:clientData/>
  </xdr:oneCellAnchor>
  <xdr:twoCellAnchor>
    <xdr:from>
      <xdr:col>17</xdr:col>
      <xdr:colOff>217713</xdr:colOff>
      <xdr:row>13</xdr:row>
      <xdr:rowOff>23132</xdr:rowOff>
    </xdr:from>
    <xdr:to>
      <xdr:col>18</xdr:col>
      <xdr:colOff>175076</xdr:colOff>
      <xdr:row>13</xdr:row>
      <xdr:rowOff>172357</xdr:rowOff>
    </xdr:to>
    <xdr:sp macro="" textlink="">
      <xdr:nvSpPr>
        <xdr:cNvPr id="7" name="Line 23"/>
        <xdr:cNvSpPr>
          <a:spLocks noChangeShapeType="1"/>
        </xdr:cNvSpPr>
      </xdr:nvSpPr>
      <xdr:spPr bwMode="auto">
        <a:xfrm flipH="1">
          <a:off x="10771413" y="2683782"/>
          <a:ext cx="789213" cy="149225"/>
        </a:xfrm>
        <a:prstGeom prst="line">
          <a:avLst/>
        </a:prstGeom>
        <a:noFill/>
        <a:ln w="15875">
          <a:solidFill>
            <a:srgbClr val="FF6600"/>
          </a:solidFill>
          <a:round/>
          <a:headEnd/>
          <a:tailEnd type="triangle" w="med" len="med"/>
        </a:ln>
      </xdr:spPr>
    </xdr:sp>
    <xdr:clientData/>
  </xdr:twoCellAnchor>
  <xdr:oneCellAnchor>
    <xdr:from>
      <xdr:col>17</xdr:col>
      <xdr:colOff>555626</xdr:colOff>
      <xdr:row>15</xdr:row>
      <xdr:rowOff>200932</xdr:rowOff>
    </xdr:from>
    <xdr:ext cx="2564946" cy="297997"/>
    <xdr:sp macro="" textlink="">
      <xdr:nvSpPr>
        <xdr:cNvPr id="8" name="AutoShape 24"/>
        <xdr:cNvSpPr>
          <a:spLocks noChangeArrowheads="1"/>
        </xdr:cNvSpPr>
      </xdr:nvSpPr>
      <xdr:spPr bwMode="auto">
        <a:xfrm>
          <a:off x="11141983" y="3375932"/>
          <a:ext cx="2564946" cy="297997"/>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en-US" altLang="ja-JP" sz="1100" b="0" i="0" baseline="0">
              <a:effectLst/>
              <a:latin typeface="+mn-lt"/>
              <a:ea typeface="+mn-ea"/>
              <a:cs typeface="+mn-cs"/>
            </a:rPr>
            <a:t>Please sign responsible person signature.</a:t>
          </a:r>
          <a:endParaRPr lang="ja-JP" altLang="ja-JP">
            <a:effectLst/>
          </a:endParaRPr>
        </a:p>
      </xdr:txBody>
    </xdr:sp>
    <xdr:clientData/>
  </xdr:oneCellAnchor>
  <xdr:twoCellAnchor>
    <xdr:from>
      <xdr:col>0</xdr:col>
      <xdr:colOff>127191</xdr:colOff>
      <xdr:row>18</xdr:row>
      <xdr:rowOff>153761</xdr:rowOff>
    </xdr:from>
    <xdr:to>
      <xdr:col>17</xdr:col>
      <xdr:colOff>127000</xdr:colOff>
      <xdr:row>20</xdr:row>
      <xdr:rowOff>0</xdr:rowOff>
    </xdr:to>
    <xdr:sp macro="" textlink="">
      <xdr:nvSpPr>
        <xdr:cNvPr id="9" name="AutoShape 3"/>
        <xdr:cNvSpPr>
          <a:spLocks noChangeArrowheads="1"/>
        </xdr:cNvSpPr>
      </xdr:nvSpPr>
      <xdr:spPr bwMode="auto">
        <a:xfrm>
          <a:off x="127191" y="3906611"/>
          <a:ext cx="10553509" cy="271689"/>
        </a:xfrm>
        <a:prstGeom prst="roundRect">
          <a:avLst>
            <a:gd name="adj" fmla="val 16667"/>
          </a:avLst>
        </a:prstGeom>
        <a:noFill/>
        <a:ln w="15875" algn="ctr">
          <a:solidFill>
            <a:srgbClr val="FF6600"/>
          </a:solidFill>
          <a:round/>
          <a:headEnd/>
          <a:tailEnd/>
        </a:ln>
      </xdr:spPr>
    </xdr:sp>
    <xdr:clientData/>
  </xdr:twoCellAnchor>
  <xdr:twoCellAnchor>
    <xdr:from>
      <xdr:col>17</xdr:col>
      <xdr:colOff>145143</xdr:colOff>
      <xdr:row>19</xdr:row>
      <xdr:rowOff>63500</xdr:rowOff>
    </xdr:from>
    <xdr:to>
      <xdr:col>17</xdr:col>
      <xdr:colOff>571499</xdr:colOff>
      <xdr:row>19</xdr:row>
      <xdr:rowOff>81643</xdr:rowOff>
    </xdr:to>
    <xdr:sp macro="" textlink="">
      <xdr:nvSpPr>
        <xdr:cNvPr id="10" name="Line 23"/>
        <xdr:cNvSpPr>
          <a:spLocks noChangeShapeType="1"/>
        </xdr:cNvSpPr>
      </xdr:nvSpPr>
      <xdr:spPr bwMode="auto">
        <a:xfrm flipH="1">
          <a:off x="10698843" y="4000500"/>
          <a:ext cx="426356" cy="18143"/>
        </a:xfrm>
        <a:prstGeom prst="line">
          <a:avLst/>
        </a:prstGeom>
        <a:noFill/>
        <a:ln w="15875">
          <a:solidFill>
            <a:srgbClr val="FF6600"/>
          </a:solidFill>
          <a:round/>
          <a:headEnd/>
          <a:tailEnd type="triangle" w="med" len="med"/>
        </a:ln>
      </xdr:spPr>
    </xdr:sp>
    <xdr:clientData/>
  </xdr:twoCellAnchor>
  <xdr:twoCellAnchor>
    <xdr:from>
      <xdr:col>0</xdr:col>
      <xdr:colOff>107952</xdr:colOff>
      <xdr:row>20</xdr:row>
      <xdr:rowOff>28575</xdr:rowOff>
    </xdr:from>
    <xdr:to>
      <xdr:col>17</xdr:col>
      <xdr:colOff>117929</xdr:colOff>
      <xdr:row>22</xdr:row>
      <xdr:rowOff>54430</xdr:rowOff>
    </xdr:to>
    <xdr:sp macro="" textlink="">
      <xdr:nvSpPr>
        <xdr:cNvPr id="11" name="AutoShape 3"/>
        <xdr:cNvSpPr>
          <a:spLocks noChangeArrowheads="1"/>
        </xdr:cNvSpPr>
      </xdr:nvSpPr>
      <xdr:spPr bwMode="auto">
        <a:xfrm>
          <a:off x="107952" y="4206875"/>
          <a:ext cx="10563677" cy="508455"/>
        </a:xfrm>
        <a:prstGeom prst="roundRect">
          <a:avLst>
            <a:gd name="adj" fmla="val 16667"/>
          </a:avLst>
        </a:prstGeom>
        <a:noFill/>
        <a:ln w="15875" algn="ctr">
          <a:solidFill>
            <a:schemeClr val="accent6">
              <a:lumMod val="75000"/>
            </a:schemeClr>
          </a:solidFill>
          <a:round/>
          <a:headEnd/>
          <a:tailEnd/>
        </a:ln>
      </xdr:spPr>
    </xdr:sp>
    <xdr:clientData/>
  </xdr:twoCellAnchor>
  <xdr:oneCellAnchor>
    <xdr:from>
      <xdr:col>3</xdr:col>
      <xdr:colOff>508001</xdr:colOff>
      <xdr:row>6</xdr:row>
      <xdr:rowOff>75746</xdr:rowOff>
    </xdr:from>
    <xdr:ext cx="6331858" cy="476250"/>
    <xdr:sp macro="" textlink="">
      <xdr:nvSpPr>
        <xdr:cNvPr id="12" name="AutoShape 9"/>
        <xdr:cNvSpPr>
          <a:spLocks noChangeArrowheads="1"/>
        </xdr:cNvSpPr>
      </xdr:nvSpPr>
      <xdr:spPr bwMode="auto">
        <a:xfrm>
          <a:off x="2422072" y="1109889"/>
          <a:ext cx="6331858" cy="476250"/>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square" lIns="18288" tIns="18288" rIns="0" bIns="0" anchor="t" upright="1">
          <a:noAutofit/>
        </a:bodyPr>
        <a:lstStyle/>
        <a:p>
          <a:pPr rtl="0"/>
          <a:r>
            <a:rPr lang="en-US" altLang="ja-JP" sz="1100" b="0" i="0" baseline="0">
              <a:effectLst/>
              <a:latin typeface="+mn-lt"/>
              <a:ea typeface="+mn-ea"/>
              <a:cs typeface="+mn-cs"/>
            </a:rPr>
            <a:t>Upper row : Please fill in Mitsumi Electric Co., Ltd. or MinebeaMitsumi Inc. depending on your transaction.</a:t>
          </a:r>
          <a:endParaRPr lang="ja-JP" altLang="ja-JP">
            <a:effectLst/>
          </a:endParaRPr>
        </a:p>
        <a:p>
          <a:pPr rtl="0"/>
          <a:r>
            <a:rPr lang="en-US" altLang="ja-JP" sz="1100" b="0" i="0" baseline="0">
              <a:effectLst/>
              <a:latin typeface="+mn-lt"/>
              <a:ea typeface="+mn-ea"/>
              <a:cs typeface="+mn-cs"/>
            </a:rPr>
            <a:t>Bottom : Please fill in the MinebeaMitsumi Group business headquarters and business divisions.</a:t>
          </a:r>
          <a:endParaRPr lang="ja-JP" altLang="ja-JP">
            <a:effectLst/>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0</xdr:col>
      <xdr:colOff>99785</xdr:colOff>
      <xdr:row>3</xdr:row>
      <xdr:rowOff>163286</xdr:rowOff>
    </xdr:from>
    <xdr:to>
      <xdr:col>11</xdr:col>
      <xdr:colOff>18143</xdr:colOff>
      <xdr:row>5</xdr:row>
      <xdr:rowOff>63500</xdr:rowOff>
    </xdr:to>
    <xdr:sp macro="" textlink="">
      <xdr:nvSpPr>
        <xdr:cNvPr id="13" name="AutoShape 3"/>
        <xdr:cNvSpPr>
          <a:spLocks noChangeArrowheads="1"/>
        </xdr:cNvSpPr>
      </xdr:nvSpPr>
      <xdr:spPr bwMode="auto">
        <a:xfrm>
          <a:off x="99785" y="664936"/>
          <a:ext cx="6204858" cy="332014"/>
        </a:xfrm>
        <a:prstGeom prst="roundRect">
          <a:avLst>
            <a:gd name="adj" fmla="val 16667"/>
          </a:avLst>
        </a:prstGeom>
        <a:noFill/>
        <a:ln w="15875" algn="ctr">
          <a:solidFill>
            <a:srgbClr val="FF6600"/>
          </a:solidFill>
          <a:round/>
          <a:headEnd/>
          <a:tailEnd/>
        </a:ln>
      </xdr:spPr>
    </xdr:sp>
    <xdr:clientData/>
  </xdr:twoCellAnchor>
  <xdr:twoCellAnchor>
    <xdr:from>
      <xdr:col>11</xdr:col>
      <xdr:colOff>45358</xdr:colOff>
      <xdr:row>4</xdr:row>
      <xdr:rowOff>86633</xdr:rowOff>
    </xdr:from>
    <xdr:to>
      <xdr:col>13</xdr:col>
      <xdr:colOff>160564</xdr:colOff>
      <xdr:row>4</xdr:row>
      <xdr:rowOff>99788</xdr:rowOff>
    </xdr:to>
    <xdr:sp macro="" textlink="">
      <xdr:nvSpPr>
        <xdr:cNvPr id="14" name="Line 23"/>
        <xdr:cNvSpPr>
          <a:spLocks noChangeShapeType="1"/>
        </xdr:cNvSpPr>
      </xdr:nvSpPr>
      <xdr:spPr bwMode="auto">
        <a:xfrm flipH="1">
          <a:off x="6331858" y="804183"/>
          <a:ext cx="1004206" cy="13155"/>
        </a:xfrm>
        <a:prstGeom prst="line">
          <a:avLst/>
        </a:prstGeom>
        <a:noFill/>
        <a:ln w="15875">
          <a:solidFill>
            <a:srgbClr val="FF6600"/>
          </a:solidFill>
          <a:round/>
          <a:headEnd/>
          <a:tailEnd type="triangle" w="med" len="med"/>
        </a:ln>
      </xdr:spPr>
    </xdr:sp>
    <xdr:clientData/>
  </xdr:twoCellAnchor>
  <xdr:oneCellAnchor>
    <xdr:from>
      <xdr:col>13</xdr:col>
      <xdr:colOff>167369</xdr:colOff>
      <xdr:row>3</xdr:row>
      <xdr:rowOff>172360</xdr:rowOff>
    </xdr:from>
    <xdr:ext cx="2163988" cy="281211"/>
    <xdr:sp macro="" textlink="">
      <xdr:nvSpPr>
        <xdr:cNvPr id="15" name="AutoShape 9"/>
        <xdr:cNvSpPr>
          <a:spLocks noChangeArrowheads="1"/>
        </xdr:cNvSpPr>
      </xdr:nvSpPr>
      <xdr:spPr bwMode="auto">
        <a:xfrm>
          <a:off x="7361012" y="671289"/>
          <a:ext cx="2163988" cy="281211"/>
        </a:xfrm>
        <a:prstGeom prst="roundRect">
          <a:avLst>
            <a:gd name="adj" fmla="val 16667"/>
          </a:avLst>
        </a:prstGeom>
        <a:solidFill>
          <a:schemeClr val="accent5">
            <a:lumMod val="40000"/>
            <a:lumOff val="60000"/>
          </a:schemeClr>
        </a:solidFill>
        <a:ln w="15875" algn="ctr">
          <a:solidFill>
            <a:srgbClr val="FF6600"/>
          </a:solidFill>
          <a:round/>
          <a:headEnd/>
          <a:tailEnd/>
        </a:ln>
        <a:effectLst/>
      </xdr:spPr>
      <xdr:txBody>
        <a:bodyPr wrap="square" lIns="18288" tIns="18288" rIns="0" bIns="0" anchor="t" upright="1">
          <a:noAutofit/>
        </a:bodyPr>
        <a:lstStyle/>
        <a:p>
          <a:pPr rtl="0"/>
          <a:r>
            <a:rPr lang="en-US" altLang="ja-JP" sz="1100" b="0" i="0" baseline="0">
              <a:effectLst/>
              <a:latin typeface="+mn-lt"/>
              <a:ea typeface="+mn-ea"/>
              <a:cs typeface="+mn-cs"/>
            </a:rPr>
            <a:t>First, select the language you use. </a:t>
          </a:r>
          <a:endParaRPr lang="ja-JP" altLang="ja-JP">
            <a:effectLst/>
          </a:endParaRPr>
        </a:p>
      </xdr:txBody>
    </xdr:sp>
    <xdr:clientData/>
  </xdr:oneCellAnchor>
  <xdr:twoCellAnchor>
    <xdr:from>
      <xdr:col>0</xdr:col>
      <xdr:colOff>27212</xdr:colOff>
      <xdr:row>12</xdr:row>
      <xdr:rowOff>154213</xdr:rowOff>
    </xdr:from>
    <xdr:to>
      <xdr:col>17</xdr:col>
      <xdr:colOff>163284</xdr:colOff>
      <xdr:row>17</xdr:row>
      <xdr:rowOff>76198</xdr:rowOff>
    </xdr:to>
    <xdr:sp macro="" textlink="">
      <xdr:nvSpPr>
        <xdr:cNvPr id="16" name="AutoShape 3"/>
        <xdr:cNvSpPr>
          <a:spLocks noChangeArrowheads="1"/>
        </xdr:cNvSpPr>
      </xdr:nvSpPr>
      <xdr:spPr bwMode="auto">
        <a:xfrm>
          <a:off x="27212" y="2624363"/>
          <a:ext cx="10689772" cy="1077685"/>
        </a:xfrm>
        <a:prstGeom prst="roundRect">
          <a:avLst>
            <a:gd name="adj" fmla="val 16667"/>
          </a:avLst>
        </a:prstGeom>
        <a:noFill/>
        <a:ln w="15875" algn="ctr">
          <a:solidFill>
            <a:srgbClr val="FF6600"/>
          </a:solidFill>
          <a:round/>
          <a:headEnd/>
          <a:tailEnd/>
        </a:ln>
      </xdr:spPr>
    </xdr:sp>
    <xdr:clientData/>
  </xdr:twoCellAnchor>
  <xdr:twoCellAnchor>
    <xdr:from>
      <xdr:col>17</xdr:col>
      <xdr:colOff>63498</xdr:colOff>
      <xdr:row>16</xdr:row>
      <xdr:rowOff>108857</xdr:rowOff>
    </xdr:from>
    <xdr:to>
      <xdr:col>17</xdr:col>
      <xdr:colOff>571499</xdr:colOff>
      <xdr:row>16</xdr:row>
      <xdr:rowOff>118683</xdr:rowOff>
    </xdr:to>
    <xdr:sp macro="" textlink="">
      <xdr:nvSpPr>
        <xdr:cNvPr id="17" name="Line 23"/>
        <xdr:cNvSpPr>
          <a:spLocks noChangeShapeType="1"/>
        </xdr:cNvSpPr>
      </xdr:nvSpPr>
      <xdr:spPr bwMode="auto">
        <a:xfrm flipH="1">
          <a:off x="10617198" y="3493407"/>
          <a:ext cx="508001" cy="9826"/>
        </a:xfrm>
        <a:prstGeom prst="line">
          <a:avLst/>
        </a:prstGeom>
        <a:noFill/>
        <a:ln w="15875">
          <a:solidFill>
            <a:schemeClr val="accent6">
              <a:lumMod val="75000"/>
            </a:schemeClr>
          </a:solidFill>
          <a:round/>
          <a:headEnd/>
          <a:tailEnd type="triangle" w="med" len="med"/>
        </a:ln>
      </xdr:spPr>
    </xdr:sp>
    <xdr:clientData/>
  </xdr:twoCellAnchor>
  <xdr:twoCellAnchor>
    <xdr:from>
      <xdr:col>17</xdr:col>
      <xdr:colOff>117928</xdr:colOff>
      <xdr:row>21</xdr:row>
      <xdr:rowOff>126999</xdr:rowOff>
    </xdr:from>
    <xdr:to>
      <xdr:col>17</xdr:col>
      <xdr:colOff>571498</xdr:colOff>
      <xdr:row>21</xdr:row>
      <xdr:rowOff>127000</xdr:rowOff>
    </xdr:to>
    <xdr:sp macro="" textlink="">
      <xdr:nvSpPr>
        <xdr:cNvPr id="18" name="Line 23"/>
        <xdr:cNvSpPr>
          <a:spLocks noChangeShapeType="1"/>
        </xdr:cNvSpPr>
      </xdr:nvSpPr>
      <xdr:spPr bwMode="auto">
        <a:xfrm flipH="1">
          <a:off x="10671628" y="4546599"/>
          <a:ext cx="453570" cy="1"/>
        </a:xfrm>
        <a:prstGeom prst="line">
          <a:avLst/>
        </a:prstGeom>
        <a:noFill/>
        <a:ln w="15875">
          <a:solidFill>
            <a:schemeClr val="accent6">
              <a:lumMod val="75000"/>
            </a:schemeClr>
          </a:solidFill>
          <a:round/>
          <a:headEnd/>
          <a:tailEnd type="triangle" w="med" len="med"/>
        </a:ln>
      </xdr:spPr>
    </xdr:sp>
    <xdr:clientData/>
  </xdr:twoCellAnchor>
  <xdr:twoCellAnchor>
    <xdr:from>
      <xdr:col>13</xdr:col>
      <xdr:colOff>1515835</xdr:colOff>
      <xdr:row>9</xdr:row>
      <xdr:rowOff>18143</xdr:rowOff>
    </xdr:from>
    <xdr:to>
      <xdr:col>17</xdr:col>
      <xdr:colOff>54428</xdr:colOff>
      <xdr:row>11</xdr:row>
      <xdr:rowOff>9072</xdr:rowOff>
    </xdr:to>
    <xdr:sp macro="" textlink="">
      <xdr:nvSpPr>
        <xdr:cNvPr id="19" name="AutoShape 3"/>
        <xdr:cNvSpPr>
          <a:spLocks noChangeArrowheads="1"/>
        </xdr:cNvSpPr>
      </xdr:nvSpPr>
      <xdr:spPr bwMode="auto">
        <a:xfrm>
          <a:off x="8691335" y="1878693"/>
          <a:ext cx="1916793" cy="473529"/>
        </a:xfrm>
        <a:prstGeom prst="roundRect">
          <a:avLst>
            <a:gd name="adj" fmla="val 16667"/>
          </a:avLst>
        </a:prstGeom>
        <a:noFill/>
        <a:ln w="15875" algn="ctr">
          <a:solidFill>
            <a:srgbClr val="FF6600"/>
          </a:solidFill>
          <a:round/>
          <a:headEnd/>
          <a:tailEnd/>
        </a:ln>
      </xdr:spPr>
    </xdr:sp>
    <xdr:clientData/>
  </xdr:twoCellAnchor>
  <xdr:oneCellAnchor>
    <xdr:from>
      <xdr:col>17</xdr:col>
      <xdr:colOff>557252</xdr:colOff>
      <xdr:row>8</xdr:row>
      <xdr:rowOff>238437</xdr:rowOff>
    </xdr:from>
    <xdr:ext cx="2227677" cy="323992"/>
    <xdr:sp macro="" textlink="">
      <xdr:nvSpPr>
        <xdr:cNvPr id="20" name="AutoShape 24"/>
        <xdr:cNvSpPr>
          <a:spLocks noChangeArrowheads="1"/>
        </xdr:cNvSpPr>
      </xdr:nvSpPr>
      <xdr:spPr bwMode="auto">
        <a:xfrm>
          <a:off x="11143609" y="1871294"/>
          <a:ext cx="2227677" cy="323992"/>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en-US" altLang="ja-JP" sz="1100" b="0" i="0" baseline="0">
              <a:effectLst/>
              <a:latin typeface="+mn-lt"/>
              <a:ea typeface="+mn-ea"/>
              <a:cs typeface="+mn-cs"/>
            </a:rPr>
            <a:t>Please fill in it</a:t>
          </a:r>
          <a:r>
            <a:rPr lang="ja-JP" altLang="ja-JP" sz="1100" b="0" i="0" baseline="0">
              <a:effectLst/>
              <a:latin typeface="+mn-lt"/>
              <a:ea typeface="+mn-ea"/>
              <a:cs typeface="+mn-cs"/>
            </a:rPr>
            <a:t> </a:t>
          </a:r>
          <a:r>
            <a:rPr lang="en-US" altLang="ja-JP" sz="1100" b="0" i="0" baseline="0">
              <a:effectLst/>
              <a:latin typeface="+mn-lt"/>
              <a:ea typeface="+mn-ea"/>
              <a:cs typeface="+mn-cs"/>
            </a:rPr>
            <a:t>when you know it.</a:t>
          </a:r>
          <a:endParaRPr lang="ja-JP" altLang="ja-JP">
            <a:effectLst/>
          </a:endParaRPr>
        </a:p>
      </xdr:txBody>
    </xdr:sp>
    <xdr:clientData/>
  </xdr:oneCellAnchor>
  <xdr:twoCellAnchor>
    <xdr:from>
      <xdr:col>17</xdr:col>
      <xdr:colOff>52615</xdr:colOff>
      <xdr:row>9</xdr:row>
      <xdr:rowOff>168728</xdr:rowOff>
    </xdr:from>
    <xdr:to>
      <xdr:col>17</xdr:col>
      <xdr:colOff>547915</xdr:colOff>
      <xdr:row>10</xdr:row>
      <xdr:rowOff>19048</xdr:rowOff>
    </xdr:to>
    <xdr:sp macro="" textlink="">
      <xdr:nvSpPr>
        <xdr:cNvPr id="21" name="Line 23"/>
        <xdr:cNvSpPr>
          <a:spLocks noChangeShapeType="1"/>
        </xdr:cNvSpPr>
      </xdr:nvSpPr>
      <xdr:spPr bwMode="auto">
        <a:xfrm flipH="1">
          <a:off x="10606315" y="2029278"/>
          <a:ext cx="495300" cy="91620"/>
        </a:xfrm>
        <a:prstGeom prst="line">
          <a:avLst/>
        </a:prstGeom>
        <a:noFill/>
        <a:ln w="15875">
          <a:solidFill>
            <a:srgbClr val="FF6600"/>
          </a:solidFill>
          <a:round/>
          <a:headEnd/>
          <a:tailEnd type="triangle" w="med" len="med"/>
        </a:ln>
      </xdr:spPr>
    </xdr:sp>
    <xdr:clientData/>
  </xdr:twoCellAnchor>
  <xdr:oneCellAnchor>
    <xdr:from>
      <xdr:col>17</xdr:col>
      <xdr:colOff>501198</xdr:colOff>
      <xdr:row>6</xdr:row>
      <xdr:rowOff>263071</xdr:rowOff>
    </xdr:from>
    <xdr:ext cx="3336016" cy="371929"/>
    <xdr:sp macro="" textlink="">
      <xdr:nvSpPr>
        <xdr:cNvPr id="22" name="AutoShape 24"/>
        <xdr:cNvSpPr>
          <a:spLocks noChangeArrowheads="1"/>
        </xdr:cNvSpPr>
      </xdr:nvSpPr>
      <xdr:spPr bwMode="auto">
        <a:xfrm>
          <a:off x="11087555" y="1297214"/>
          <a:ext cx="3336016" cy="371929"/>
        </a:xfrm>
        <a:prstGeom prst="roundRect">
          <a:avLst>
            <a:gd name="adj" fmla="val 16667"/>
          </a:avLst>
        </a:prstGeom>
        <a:solidFill>
          <a:schemeClr val="accent3">
            <a:lumMod val="60000"/>
            <a:lumOff val="40000"/>
          </a:schemeClr>
        </a:solidFill>
        <a:ln w="15875" algn="ctr">
          <a:solidFill>
            <a:srgbClr val="FF0000"/>
          </a:solidFill>
          <a:round/>
          <a:headEnd/>
          <a:tailEnd/>
        </a:ln>
        <a:effectLst/>
      </xdr:spPr>
      <xdr:txBody>
        <a:bodyPr wrap="none" lIns="18288" tIns="18288" rIns="0" bIns="0" anchor="t" upright="1">
          <a:noAutofit/>
        </a:bodyPr>
        <a:lstStyle/>
        <a:p>
          <a:pPr rtl="0"/>
          <a:r>
            <a:rPr lang="en-US" altLang="ja-JP" sz="1100">
              <a:effectLst/>
              <a:latin typeface="+mn-lt"/>
              <a:ea typeface="+mn-ea"/>
              <a:cs typeface="+mn-cs"/>
            </a:rPr>
            <a:t>The MinebeaMitsumi Group will fill in as necessary.</a:t>
          </a:r>
          <a:endParaRPr lang="ja-JP" altLang="ja-JP">
            <a:effectLst/>
          </a:endParaRPr>
        </a:p>
        <a:p>
          <a:pPr rtl="0"/>
          <a:endParaRPr lang="ja-JP" altLang="ja-JP">
            <a:effectLst/>
          </a:endParaRPr>
        </a:p>
      </xdr:txBody>
    </xdr:sp>
    <xdr:clientData/>
  </xdr:oneCellAnchor>
  <xdr:twoCellAnchor>
    <xdr:from>
      <xdr:col>17</xdr:col>
      <xdr:colOff>43996</xdr:colOff>
      <xdr:row>7</xdr:row>
      <xdr:rowOff>166461</xdr:rowOff>
    </xdr:from>
    <xdr:to>
      <xdr:col>17</xdr:col>
      <xdr:colOff>482147</xdr:colOff>
      <xdr:row>8</xdr:row>
      <xdr:rowOff>73932</xdr:rowOff>
    </xdr:to>
    <xdr:sp macro="" textlink="">
      <xdr:nvSpPr>
        <xdr:cNvPr id="23" name="Line 23"/>
        <xdr:cNvSpPr>
          <a:spLocks noChangeShapeType="1"/>
        </xdr:cNvSpPr>
      </xdr:nvSpPr>
      <xdr:spPr bwMode="auto">
        <a:xfrm flipH="1">
          <a:off x="10597696" y="1544411"/>
          <a:ext cx="438151" cy="148771"/>
        </a:xfrm>
        <a:prstGeom prst="line">
          <a:avLst/>
        </a:prstGeom>
        <a:noFill/>
        <a:ln w="15875">
          <a:solidFill>
            <a:srgbClr val="FF0000"/>
          </a:solidFill>
          <a:round/>
          <a:headEnd/>
          <a:tailEnd type="triangle" w="med" len="med"/>
        </a:ln>
      </xdr:spPr>
    </xdr:sp>
    <xdr:clientData/>
  </xdr:twoCellAnchor>
  <xdr:twoCellAnchor>
    <xdr:from>
      <xdr:col>13</xdr:col>
      <xdr:colOff>1496785</xdr:colOff>
      <xdr:row>7</xdr:row>
      <xdr:rowOff>0</xdr:rowOff>
    </xdr:from>
    <xdr:to>
      <xdr:col>17</xdr:col>
      <xdr:colOff>15422</xdr:colOff>
      <xdr:row>8</xdr:row>
      <xdr:rowOff>197755</xdr:rowOff>
    </xdr:to>
    <xdr:sp macro="" textlink="">
      <xdr:nvSpPr>
        <xdr:cNvPr id="24" name="AutoShape 3"/>
        <xdr:cNvSpPr>
          <a:spLocks noChangeArrowheads="1"/>
        </xdr:cNvSpPr>
      </xdr:nvSpPr>
      <xdr:spPr bwMode="auto">
        <a:xfrm>
          <a:off x="8672285" y="1377950"/>
          <a:ext cx="1896837" cy="439055"/>
        </a:xfrm>
        <a:prstGeom prst="roundRect">
          <a:avLst>
            <a:gd name="adj" fmla="val 16667"/>
          </a:avLst>
        </a:prstGeom>
        <a:solidFill>
          <a:schemeClr val="accent3">
            <a:lumMod val="60000"/>
            <a:lumOff val="40000"/>
            <a:alpha val="40000"/>
          </a:schemeClr>
        </a:solidFill>
        <a:ln w="15875" algn="ctr">
          <a:solidFill>
            <a:srgbClr val="FF0000"/>
          </a:solidFill>
          <a:round/>
          <a:headEnd/>
          <a:tailEnd/>
        </a:ln>
      </xdr:spPr>
    </xdr:sp>
    <xdr:clientData/>
  </xdr:twoCellAnchor>
  <xdr:twoCellAnchor>
    <xdr:from>
      <xdr:col>4</xdr:col>
      <xdr:colOff>564444</xdr:colOff>
      <xdr:row>23</xdr:row>
      <xdr:rowOff>190499</xdr:rowOff>
    </xdr:from>
    <xdr:to>
      <xdr:col>7</xdr:col>
      <xdr:colOff>684387</xdr:colOff>
      <xdr:row>24</xdr:row>
      <xdr:rowOff>56443</xdr:rowOff>
    </xdr:to>
    <xdr:sp macro="" textlink="">
      <xdr:nvSpPr>
        <xdr:cNvPr id="25" name="Line 23"/>
        <xdr:cNvSpPr>
          <a:spLocks noChangeShapeType="1"/>
        </xdr:cNvSpPr>
      </xdr:nvSpPr>
      <xdr:spPr bwMode="auto">
        <a:xfrm flipH="1" flipV="1">
          <a:off x="3498144" y="5092699"/>
          <a:ext cx="1389943" cy="107244"/>
        </a:xfrm>
        <a:prstGeom prst="line">
          <a:avLst/>
        </a:prstGeom>
        <a:noFill/>
        <a:ln w="15875">
          <a:solidFill>
            <a:schemeClr val="accent6">
              <a:lumMod val="75000"/>
            </a:schemeClr>
          </a:solidFill>
          <a:round/>
          <a:headEnd/>
          <a:tailEnd type="triangle" w="med" len="med"/>
        </a:ln>
      </xdr:spPr>
    </xdr:sp>
    <xdr:clientData/>
  </xdr:twoCellAnchor>
  <xdr:oneCellAnchor>
    <xdr:from>
      <xdr:col>7</xdr:col>
      <xdr:colOff>684390</xdr:colOff>
      <xdr:row>22</xdr:row>
      <xdr:rowOff>225778</xdr:rowOff>
    </xdr:from>
    <xdr:ext cx="9348610" cy="353659"/>
    <xdr:sp macro="" textlink="">
      <xdr:nvSpPr>
        <xdr:cNvPr id="26" name="AutoShape 24"/>
        <xdr:cNvSpPr>
          <a:spLocks noChangeArrowheads="1"/>
        </xdr:cNvSpPr>
      </xdr:nvSpPr>
      <xdr:spPr bwMode="auto">
        <a:xfrm>
          <a:off x="4891265" y="4837466"/>
          <a:ext cx="9348610" cy="353659"/>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ctr" upright="1">
          <a:noAutofit/>
        </a:bodyPr>
        <a:lstStyle/>
        <a:p>
          <a:pPr rtl="0"/>
          <a:r>
            <a:rPr lang="en-US" altLang="ja-JP">
              <a:effectLst/>
            </a:rPr>
            <a:t>Select the unit of weight (g or mg) and quantity (pcs, m or m2) from the drop-down list. After selection, the unit of the table item will be changed automatically.</a:t>
          </a:r>
          <a:endParaRPr lang="ja-JP" altLang="ja-JP">
            <a:effectLst/>
          </a:endParaRPr>
        </a:p>
      </xdr:txBody>
    </xdr:sp>
    <xdr:clientData/>
  </xdr:oneCellAnchor>
  <xdr:twoCellAnchor>
    <xdr:from>
      <xdr:col>6</xdr:col>
      <xdr:colOff>388055</xdr:colOff>
      <xdr:row>23</xdr:row>
      <xdr:rowOff>0</xdr:rowOff>
    </xdr:from>
    <xdr:to>
      <xdr:col>7</xdr:col>
      <xdr:colOff>719665</xdr:colOff>
      <xdr:row>23</xdr:row>
      <xdr:rowOff>84666</xdr:rowOff>
    </xdr:to>
    <xdr:sp macro="" textlink="">
      <xdr:nvSpPr>
        <xdr:cNvPr id="27" name="Line 23"/>
        <xdr:cNvSpPr>
          <a:spLocks noChangeShapeType="1"/>
        </xdr:cNvSpPr>
      </xdr:nvSpPr>
      <xdr:spPr bwMode="auto">
        <a:xfrm flipH="1">
          <a:off x="3988505" y="4902200"/>
          <a:ext cx="934860" cy="84666"/>
        </a:xfrm>
        <a:prstGeom prst="line">
          <a:avLst/>
        </a:prstGeom>
        <a:noFill/>
        <a:ln w="15875">
          <a:solidFill>
            <a:schemeClr val="accent6">
              <a:lumMod val="75000"/>
            </a:schemeClr>
          </a:solidFill>
          <a:round/>
          <a:headEnd/>
          <a:tailEnd type="triangle" w="med" len="med"/>
        </a:ln>
      </xdr:spPr>
    </xdr:sp>
    <xdr:clientData/>
  </xdr:twoCellAnchor>
  <xdr:twoCellAnchor>
    <xdr:from>
      <xdr:col>0</xdr:col>
      <xdr:colOff>190500</xdr:colOff>
      <xdr:row>79</xdr:row>
      <xdr:rowOff>14111</xdr:rowOff>
    </xdr:from>
    <xdr:to>
      <xdr:col>12</xdr:col>
      <xdr:colOff>7055</xdr:colOff>
      <xdr:row>84</xdr:row>
      <xdr:rowOff>14111</xdr:rowOff>
    </xdr:to>
    <xdr:sp macro="" textlink="">
      <xdr:nvSpPr>
        <xdr:cNvPr id="28" name="AutoShape 3"/>
        <xdr:cNvSpPr>
          <a:spLocks noChangeArrowheads="1"/>
        </xdr:cNvSpPr>
      </xdr:nvSpPr>
      <xdr:spPr bwMode="auto">
        <a:xfrm>
          <a:off x="190500" y="5411611"/>
          <a:ext cx="6388805" cy="1187450"/>
        </a:xfrm>
        <a:prstGeom prst="roundRect">
          <a:avLst>
            <a:gd name="adj" fmla="val 16667"/>
          </a:avLst>
        </a:prstGeom>
        <a:noFill/>
        <a:ln w="15875" algn="ctr">
          <a:solidFill>
            <a:srgbClr val="FF6600"/>
          </a:solidFill>
          <a:round/>
          <a:headEnd/>
          <a:tailEnd/>
        </a:ln>
      </xdr:spPr>
    </xdr:sp>
    <xdr:clientData/>
  </xdr:twoCellAnchor>
  <xdr:oneCellAnchor>
    <xdr:from>
      <xdr:col>17</xdr:col>
      <xdr:colOff>760185</xdr:colOff>
      <xdr:row>93</xdr:row>
      <xdr:rowOff>14112</xdr:rowOff>
    </xdr:from>
    <xdr:ext cx="4462690" cy="517701"/>
    <xdr:sp macro="" textlink="">
      <xdr:nvSpPr>
        <xdr:cNvPr id="29" name="AutoShape 24"/>
        <xdr:cNvSpPr>
          <a:spLocks noChangeArrowheads="1"/>
        </xdr:cNvSpPr>
      </xdr:nvSpPr>
      <xdr:spPr bwMode="auto">
        <a:xfrm>
          <a:off x="11317060" y="8396112"/>
          <a:ext cx="4462690" cy="51770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en-US" altLang="ja-JP" sz="1100" b="0" i="0" baseline="0">
              <a:effectLst/>
              <a:latin typeface="+mn-lt"/>
              <a:ea typeface="+mn-ea"/>
              <a:cs typeface="+mn-cs"/>
            </a:rPr>
            <a:t>Cause of Use can be selected from the drop-down list or entered normally. </a:t>
          </a:r>
        </a:p>
        <a:p>
          <a:pPr rtl="0"/>
          <a:r>
            <a:rPr lang="en-US" altLang="ja-JP" sz="1100" b="0" i="0" baseline="0">
              <a:effectLst/>
              <a:latin typeface="+mn-lt"/>
              <a:ea typeface="+mn-ea"/>
              <a:cs typeface="+mn-cs"/>
            </a:rPr>
            <a:t>Please choose any.</a:t>
          </a:r>
        </a:p>
      </xdr:txBody>
    </xdr:sp>
    <xdr:clientData/>
  </xdr:oneCellAnchor>
  <xdr:twoCellAnchor>
    <xdr:from>
      <xdr:col>2</xdr:col>
      <xdr:colOff>148545</xdr:colOff>
      <xdr:row>84</xdr:row>
      <xdr:rowOff>36285</xdr:rowOff>
    </xdr:from>
    <xdr:to>
      <xdr:col>3</xdr:col>
      <xdr:colOff>408215</xdr:colOff>
      <xdr:row>89</xdr:row>
      <xdr:rowOff>144009</xdr:rowOff>
    </xdr:to>
    <xdr:sp macro="" textlink="">
      <xdr:nvSpPr>
        <xdr:cNvPr id="30" name="Line 23"/>
        <xdr:cNvSpPr>
          <a:spLocks noChangeShapeType="1"/>
        </xdr:cNvSpPr>
      </xdr:nvSpPr>
      <xdr:spPr bwMode="auto">
        <a:xfrm flipV="1">
          <a:off x="1454831" y="6676571"/>
          <a:ext cx="867455" cy="1150938"/>
        </a:xfrm>
        <a:prstGeom prst="line">
          <a:avLst/>
        </a:prstGeom>
        <a:noFill/>
        <a:ln w="15875">
          <a:solidFill>
            <a:schemeClr val="accent6">
              <a:lumMod val="75000"/>
            </a:schemeClr>
          </a:solidFill>
          <a:round/>
          <a:headEnd/>
          <a:tailEnd type="triangle" w="med" len="med"/>
        </a:ln>
      </xdr:spPr>
    </xdr:sp>
    <xdr:clientData/>
  </xdr:twoCellAnchor>
  <xdr:twoCellAnchor>
    <xdr:from>
      <xdr:col>13</xdr:col>
      <xdr:colOff>7057</xdr:colOff>
      <xdr:row>78</xdr:row>
      <xdr:rowOff>119944</xdr:rowOff>
    </xdr:from>
    <xdr:to>
      <xdr:col>16</xdr:col>
      <xdr:colOff>42334</xdr:colOff>
      <xdr:row>84</xdr:row>
      <xdr:rowOff>42333</xdr:rowOff>
    </xdr:to>
    <xdr:sp macro="" textlink="">
      <xdr:nvSpPr>
        <xdr:cNvPr id="31" name="AutoShape 3"/>
        <xdr:cNvSpPr>
          <a:spLocks noChangeArrowheads="1"/>
        </xdr:cNvSpPr>
      </xdr:nvSpPr>
      <xdr:spPr bwMode="auto">
        <a:xfrm>
          <a:off x="7182557" y="5390444"/>
          <a:ext cx="2810227" cy="1236839"/>
        </a:xfrm>
        <a:prstGeom prst="roundRect">
          <a:avLst>
            <a:gd name="adj" fmla="val 16667"/>
          </a:avLst>
        </a:prstGeom>
        <a:noFill/>
        <a:ln w="15875" algn="ctr">
          <a:solidFill>
            <a:srgbClr val="FF6600"/>
          </a:solidFill>
          <a:round/>
          <a:headEnd/>
          <a:tailEnd/>
        </a:ln>
      </xdr:spPr>
    </xdr:sp>
    <xdr:clientData/>
  </xdr:twoCellAnchor>
  <xdr:twoCellAnchor>
    <xdr:from>
      <xdr:col>13</xdr:col>
      <xdr:colOff>1516944</xdr:colOff>
      <xdr:row>84</xdr:row>
      <xdr:rowOff>42329</xdr:rowOff>
    </xdr:from>
    <xdr:to>
      <xdr:col>14</xdr:col>
      <xdr:colOff>126998</xdr:colOff>
      <xdr:row>88</xdr:row>
      <xdr:rowOff>141111</xdr:rowOff>
    </xdr:to>
    <xdr:sp macro="" textlink="">
      <xdr:nvSpPr>
        <xdr:cNvPr id="32" name="Line 23"/>
        <xdr:cNvSpPr>
          <a:spLocks noChangeShapeType="1"/>
        </xdr:cNvSpPr>
      </xdr:nvSpPr>
      <xdr:spPr bwMode="auto">
        <a:xfrm flipV="1">
          <a:off x="8692444" y="6627279"/>
          <a:ext cx="178504" cy="936982"/>
        </a:xfrm>
        <a:prstGeom prst="line">
          <a:avLst/>
        </a:prstGeom>
        <a:noFill/>
        <a:ln w="15875">
          <a:solidFill>
            <a:schemeClr val="accent6">
              <a:lumMod val="75000"/>
            </a:schemeClr>
          </a:solidFill>
          <a:round/>
          <a:headEnd/>
          <a:tailEnd type="triangle" w="med" len="med"/>
        </a:ln>
      </xdr:spPr>
    </xdr:sp>
    <xdr:clientData/>
  </xdr:twoCellAnchor>
  <xdr:oneCellAnchor>
    <xdr:from>
      <xdr:col>0</xdr:col>
      <xdr:colOff>190500</xdr:colOff>
      <xdr:row>89</xdr:row>
      <xdr:rowOff>74787</xdr:rowOff>
    </xdr:from>
    <xdr:ext cx="6929438" cy="1361901"/>
    <xdr:sp macro="" textlink="">
      <xdr:nvSpPr>
        <xdr:cNvPr id="33" name="AutoShape 24"/>
        <xdr:cNvSpPr>
          <a:spLocks noChangeArrowheads="1"/>
        </xdr:cNvSpPr>
      </xdr:nvSpPr>
      <xdr:spPr bwMode="auto">
        <a:xfrm>
          <a:off x="190500" y="7631287"/>
          <a:ext cx="6929438" cy="136190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a:t>
          </a:r>
          <a:r>
            <a:rPr lang="en-US" altLang="ja-JP" sz="1100" b="0" i="0" baseline="0">
              <a:effectLst/>
              <a:latin typeface="+mn-lt"/>
              <a:ea typeface="+mn-ea"/>
              <a:cs typeface="+mn-cs"/>
            </a:rPr>
            <a:t>Region Name and Material Name can be selected from the drop-down list or entered normally. </a:t>
          </a:r>
        </a:p>
        <a:p>
          <a:pPr rtl="0"/>
          <a:r>
            <a:rPr lang="en-US" altLang="ja-JP" sz="1100" b="0" i="0" baseline="0">
              <a:effectLst/>
              <a:latin typeface="+mn-lt"/>
              <a:ea typeface="+mn-ea"/>
              <a:cs typeface="+mn-cs"/>
            </a:rPr>
            <a:t>  Please choose any.</a:t>
          </a:r>
        </a:p>
        <a:p>
          <a:pPr rtl="0"/>
          <a:r>
            <a:rPr lang="ja-JP" altLang="en-US" sz="1100" b="0" i="0" baseline="0">
              <a:effectLst/>
              <a:latin typeface="+mn-lt"/>
              <a:ea typeface="+mn-ea"/>
              <a:cs typeface="+mn-cs"/>
            </a:rPr>
            <a:t>  </a:t>
          </a:r>
          <a:r>
            <a:rPr lang="en-US" altLang="ja-JP" sz="1100" b="0" i="0" baseline="0">
              <a:effectLst/>
              <a:latin typeface="+mn-lt"/>
              <a:ea typeface="+mn-ea"/>
              <a:cs typeface="+mn-cs"/>
            </a:rPr>
            <a:t>When using the drop-down list, First, select the Region Name, </a:t>
          </a:r>
        </a:p>
        <a:p>
          <a:pPr rtl="0"/>
          <a:r>
            <a:rPr lang="en-US" altLang="ja-JP" sz="1100" b="0" i="0" baseline="0">
              <a:effectLst/>
              <a:latin typeface="+mn-lt"/>
              <a:ea typeface="+mn-ea"/>
              <a:cs typeface="+mn-cs"/>
            </a:rPr>
            <a:t>  and then select the Material Name according to the Region.</a:t>
          </a:r>
        </a:p>
        <a:p>
          <a:pPr rtl="0"/>
          <a:r>
            <a:rPr lang="ja-JP" altLang="en-US">
              <a:effectLst/>
            </a:rPr>
            <a:t>・</a:t>
          </a:r>
          <a:r>
            <a:rPr lang="en-US" altLang="ja-JP">
              <a:effectLst/>
            </a:rPr>
            <a:t>Use the same number of lines as the number of corresponding substances for one region.</a:t>
          </a:r>
        </a:p>
        <a:p>
          <a:pPr rtl="0"/>
          <a:r>
            <a:rPr lang="ja-JP" altLang="en-US">
              <a:effectLst/>
            </a:rPr>
            <a:t>  </a:t>
          </a:r>
          <a:r>
            <a:rPr lang="en-US" altLang="ja-JP">
              <a:effectLst/>
            </a:rPr>
            <a:t>Enter Quantity, </a:t>
          </a:r>
          <a:r>
            <a:rPr lang="en-US" altLang="ja-JP" baseline="0">
              <a:effectLst/>
            </a:rPr>
            <a:t> Region </a:t>
          </a:r>
          <a:r>
            <a:rPr lang="en-US" altLang="ja-JP">
              <a:effectLst/>
            </a:rPr>
            <a:t>name, Material Name, Supplier of raw material, Model, and Region</a:t>
          </a:r>
          <a:r>
            <a:rPr lang="en-US" altLang="ja-JP" baseline="0">
              <a:effectLst/>
            </a:rPr>
            <a:t> Mass </a:t>
          </a:r>
          <a:r>
            <a:rPr lang="en-US" altLang="ja-JP">
              <a:effectLst/>
            </a:rPr>
            <a:t>only in the top row.</a:t>
          </a:r>
        </a:p>
        <a:p>
          <a:pPr rtl="0"/>
          <a:r>
            <a:rPr lang="en-US" altLang="ja-JP">
              <a:effectLst/>
            </a:rPr>
            <a:t>.</a:t>
          </a:r>
          <a:r>
            <a:rPr lang="ja-JP" altLang="ja-JP" sz="1100">
              <a:effectLst/>
              <a:latin typeface="+mn-lt"/>
              <a:ea typeface="+mn-ea"/>
              <a:cs typeface="+mn-cs"/>
            </a:rPr>
            <a:t>・</a:t>
          </a:r>
          <a:r>
            <a:rPr lang="en-US" altLang="ja-JP" sz="1100" b="0" i="0" baseline="0">
              <a:effectLst/>
              <a:latin typeface="+mn-lt"/>
              <a:ea typeface="+mn-ea"/>
              <a:cs typeface="+mn-cs"/>
            </a:rPr>
            <a:t>Enter the parts component so that it is the same as Report of Analysis Results.</a:t>
          </a:r>
          <a:endParaRPr lang="ja-JP" altLang="ja-JP">
            <a:effectLst/>
          </a:endParaRPr>
        </a:p>
      </xdr:txBody>
    </xdr:sp>
    <xdr:clientData/>
  </xdr:oneCellAnchor>
  <xdr:twoCellAnchor>
    <xdr:from>
      <xdr:col>8</xdr:col>
      <xdr:colOff>180621</xdr:colOff>
      <xdr:row>83</xdr:row>
      <xdr:rowOff>183443</xdr:rowOff>
    </xdr:from>
    <xdr:to>
      <xdr:col>13</xdr:col>
      <xdr:colOff>423333</xdr:colOff>
      <xdr:row>89</xdr:row>
      <xdr:rowOff>74787</xdr:rowOff>
    </xdr:to>
    <xdr:sp macro="" textlink="">
      <xdr:nvSpPr>
        <xdr:cNvPr id="34" name="Line 23"/>
        <xdr:cNvSpPr>
          <a:spLocks noChangeShapeType="1"/>
        </xdr:cNvSpPr>
      </xdr:nvSpPr>
      <xdr:spPr bwMode="auto">
        <a:xfrm flipV="1">
          <a:off x="5266971" y="6558843"/>
          <a:ext cx="2331862" cy="1148644"/>
        </a:xfrm>
        <a:prstGeom prst="line">
          <a:avLst/>
        </a:prstGeom>
        <a:noFill/>
        <a:ln w="15875">
          <a:solidFill>
            <a:schemeClr val="accent6">
              <a:lumMod val="75000"/>
            </a:schemeClr>
          </a:solidFill>
          <a:round/>
          <a:headEnd/>
          <a:tailEnd type="triangle" w="med" len="med"/>
        </a:ln>
      </xdr:spPr>
    </xdr:sp>
    <xdr:clientData/>
  </xdr:twoCellAnchor>
  <xdr:twoCellAnchor>
    <xdr:from>
      <xdr:col>12</xdr:col>
      <xdr:colOff>25401</xdr:colOff>
      <xdr:row>79</xdr:row>
      <xdr:rowOff>7054</xdr:rowOff>
    </xdr:from>
    <xdr:to>
      <xdr:col>13</xdr:col>
      <xdr:colOff>28223</xdr:colOff>
      <xdr:row>103</xdr:row>
      <xdr:rowOff>56444</xdr:rowOff>
    </xdr:to>
    <xdr:sp macro="" textlink="">
      <xdr:nvSpPr>
        <xdr:cNvPr id="35" name="AutoShape 3"/>
        <xdr:cNvSpPr>
          <a:spLocks noChangeArrowheads="1"/>
        </xdr:cNvSpPr>
      </xdr:nvSpPr>
      <xdr:spPr bwMode="auto">
        <a:xfrm>
          <a:off x="6597651" y="5404554"/>
          <a:ext cx="606072" cy="5377040"/>
        </a:xfrm>
        <a:prstGeom prst="roundRect">
          <a:avLst>
            <a:gd name="adj" fmla="val 16667"/>
          </a:avLst>
        </a:prstGeom>
        <a:noFill/>
        <a:ln w="25400" algn="ctr">
          <a:solidFill>
            <a:schemeClr val="bg2">
              <a:lumMod val="25000"/>
            </a:schemeClr>
          </a:solidFill>
          <a:round/>
          <a:headEnd/>
          <a:tailEnd/>
        </a:ln>
      </xdr:spPr>
    </xdr:sp>
    <xdr:clientData/>
  </xdr:twoCellAnchor>
  <xdr:twoCellAnchor>
    <xdr:from>
      <xdr:col>15</xdr:col>
      <xdr:colOff>601134</xdr:colOff>
      <xdr:row>78</xdr:row>
      <xdr:rowOff>95954</xdr:rowOff>
    </xdr:from>
    <xdr:to>
      <xdr:col>16</xdr:col>
      <xdr:colOff>603956</xdr:colOff>
      <xdr:row>103</xdr:row>
      <xdr:rowOff>18344</xdr:rowOff>
    </xdr:to>
    <xdr:sp macro="" textlink="">
      <xdr:nvSpPr>
        <xdr:cNvPr id="36" name="AutoShape 3"/>
        <xdr:cNvSpPr>
          <a:spLocks noChangeArrowheads="1"/>
        </xdr:cNvSpPr>
      </xdr:nvSpPr>
      <xdr:spPr bwMode="auto">
        <a:xfrm>
          <a:off x="9948334" y="5366454"/>
          <a:ext cx="606072" cy="5377040"/>
        </a:xfrm>
        <a:prstGeom prst="roundRect">
          <a:avLst>
            <a:gd name="adj" fmla="val 16667"/>
          </a:avLst>
        </a:prstGeom>
        <a:noFill/>
        <a:ln w="25400" algn="ctr">
          <a:solidFill>
            <a:schemeClr val="bg2">
              <a:lumMod val="25000"/>
            </a:schemeClr>
          </a:solidFill>
          <a:round/>
          <a:headEnd/>
          <a:tailEnd/>
        </a:ln>
      </xdr:spPr>
    </xdr:sp>
    <xdr:clientData/>
  </xdr:twoCellAnchor>
  <xdr:twoCellAnchor>
    <xdr:from>
      <xdr:col>12</xdr:col>
      <xdr:colOff>353785</xdr:colOff>
      <xdr:row>96</xdr:row>
      <xdr:rowOff>190499</xdr:rowOff>
    </xdr:from>
    <xdr:to>
      <xdr:col>13</xdr:col>
      <xdr:colOff>387298</xdr:colOff>
      <xdr:row>98</xdr:row>
      <xdr:rowOff>152827</xdr:rowOff>
    </xdr:to>
    <xdr:sp macro="" textlink="">
      <xdr:nvSpPr>
        <xdr:cNvPr id="38" name="Line 23"/>
        <xdr:cNvSpPr>
          <a:spLocks noChangeShapeType="1"/>
        </xdr:cNvSpPr>
      </xdr:nvSpPr>
      <xdr:spPr bwMode="auto">
        <a:xfrm flipH="1" flipV="1">
          <a:off x="6939642" y="9334499"/>
          <a:ext cx="641299" cy="379614"/>
        </a:xfrm>
        <a:prstGeom prst="line">
          <a:avLst/>
        </a:prstGeom>
        <a:noFill/>
        <a:ln w="15875">
          <a:solidFill>
            <a:srgbClr val="FF6600"/>
          </a:solidFill>
          <a:round/>
          <a:headEnd/>
          <a:tailEnd type="triangle" w="med" len="med"/>
        </a:ln>
      </xdr:spPr>
    </xdr:sp>
    <xdr:clientData/>
  </xdr:twoCellAnchor>
  <xdr:twoCellAnchor>
    <xdr:from>
      <xdr:col>15</xdr:col>
      <xdr:colOff>453948</xdr:colOff>
      <xdr:row>96</xdr:row>
      <xdr:rowOff>104321</xdr:rowOff>
    </xdr:from>
    <xdr:to>
      <xdr:col>16</xdr:col>
      <xdr:colOff>324303</xdr:colOff>
      <xdr:row>98</xdr:row>
      <xdr:rowOff>166560</xdr:rowOff>
    </xdr:to>
    <xdr:sp macro="" textlink="">
      <xdr:nvSpPr>
        <xdr:cNvPr id="39" name="Line 23"/>
        <xdr:cNvSpPr>
          <a:spLocks noChangeShapeType="1"/>
        </xdr:cNvSpPr>
      </xdr:nvSpPr>
      <xdr:spPr bwMode="auto">
        <a:xfrm flipV="1">
          <a:off x="9824734" y="9248321"/>
          <a:ext cx="478140" cy="479525"/>
        </a:xfrm>
        <a:prstGeom prst="line">
          <a:avLst/>
        </a:prstGeom>
        <a:noFill/>
        <a:ln w="15875">
          <a:solidFill>
            <a:srgbClr val="FF6600"/>
          </a:solidFill>
          <a:round/>
          <a:headEnd/>
          <a:tailEnd type="triangle" w="med" len="med"/>
        </a:ln>
      </xdr:spPr>
    </xdr:sp>
    <xdr:clientData/>
  </xdr:twoCellAnchor>
  <xdr:oneCellAnchor>
    <xdr:from>
      <xdr:col>15</xdr:col>
      <xdr:colOff>88902</xdr:colOff>
      <xdr:row>105</xdr:row>
      <xdr:rowOff>46566</xdr:rowOff>
    </xdr:from>
    <xdr:ext cx="3284535" cy="763059"/>
    <xdr:sp macro="" textlink="">
      <xdr:nvSpPr>
        <xdr:cNvPr id="40" name="AutoShape 24"/>
        <xdr:cNvSpPr>
          <a:spLocks noChangeArrowheads="1"/>
        </xdr:cNvSpPr>
      </xdr:nvSpPr>
      <xdr:spPr bwMode="auto">
        <a:xfrm>
          <a:off x="9439277" y="11127316"/>
          <a:ext cx="3284535" cy="763059"/>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r>
            <a:rPr lang="ja-JP" altLang="ja-JP" sz="1100">
              <a:effectLst/>
              <a:latin typeface="+mn-lt"/>
              <a:ea typeface="+mn-ea"/>
              <a:cs typeface="+mn-cs"/>
            </a:rPr>
            <a:t>・ </a:t>
          </a:r>
          <a:r>
            <a:rPr lang="en-US" altLang="ja-JP" sz="1100">
              <a:effectLst/>
              <a:latin typeface="+mn-lt"/>
              <a:ea typeface="+mn-ea"/>
              <a:cs typeface="+mn-cs"/>
            </a:rPr>
            <a:t>It is automatically calculated and described.</a:t>
          </a:r>
          <a:br>
            <a:rPr lang="en-US" altLang="ja-JP" sz="1100">
              <a:effectLst/>
              <a:latin typeface="+mn-lt"/>
              <a:ea typeface="+mn-ea"/>
              <a:cs typeface="+mn-cs"/>
            </a:rPr>
          </a:br>
          <a:r>
            <a:rPr lang="ja-JP" altLang="ja-JP" sz="1100">
              <a:effectLst/>
              <a:latin typeface="+mn-lt"/>
              <a:ea typeface="+mn-ea"/>
              <a:cs typeface="+mn-cs"/>
            </a:rPr>
            <a:t>・ </a:t>
          </a:r>
          <a:r>
            <a:rPr lang="en-US" altLang="ja-JP" sz="1100">
              <a:effectLst/>
              <a:latin typeface="+mn-lt"/>
              <a:ea typeface="+mn-ea"/>
              <a:cs typeface="+mn-cs"/>
            </a:rPr>
            <a:t>You cannot enter.</a:t>
          </a:r>
          <a:endParaRPr lang="ja-JP" altLang="ja-JP">
            <a:effectLst/>
          </a:endParaRPr>
        </a:p>
        <a:p>
          <a:pPr rtl="0"/>
          <a:r>
            <a:rPr lang="ja-JP" altLang="en-US" sz="1100" b="0" i="0" baseline="0">
              <a:effectLst/>
              <a:latin typeface="+mn-lt"/>
              <a:ea typeface="+mn-ea"/>
              <a:cs typeface="+mn-cs"/>
            </a:rPr>
            <a:t>・</a:t>
          </a:r>
          <a:r>
            <a:rPr lang="en-US" altLang="ja-JP" sz="1100" b="0" i="0" baseline="0">
              <a:effectLst/>
              <a:latin typeface="+mn-lt"/>
              <a:ea typeface="+mn-ea"/>
              <a:cs typeface="+mn-cs"/>
            </a:rPr>
            <a:t>If entered correctly, both masses will be the same.</a:t>
          </a:r>
        </a:p>
      </xdr:txBody>
    </xdr:sp>
    <xdr:clientData/>
  </xdr:oneCellAnchor>
  <xdr:twoCellAnchor>
    <xdr:from>
      <xdr:col>13</xdr:col>
      <xdr:colOff>190499</xdr:colOff>
      <xdr:row>102</xdr:row>
      <xdr:rowOff>169332</xdr:rowOff>
    </xdr:from>
    <xdr:to>
      <xdr:col>15</xdr:col>
      <xdr:colOff>91722</xdr:colOff>
      <xdr:row>105</xdr:row>
      <xdr:rowOff>204610</xdr:rowOff>
    </xdr:to>
    <xdr:sp macro="" textlink="">
      <xdr:nvSpPr>
        <xdr:cNvPr id="41" name="Line 23"/>
        <xdr:cNvSpPr>
          <a:spLocks noChangeShapeType="1"/>
        </xdr:cNvSpPr>
      </xdr:nvSpPr>
      <xdr:spPr bwMode="auto">
        <a:xfrm flipH="1" flipV="1">
          <a:off x="7365999" y="10678582"/>
          <a:ext cx="2072923" cy="721078"/>
        </a:xfrm>
        <a:prstGeom prst="line">
          <a:avLst/>
        </a:prstGeom>
        <a:noFill/>
        <a:ln w="15875">
          <a:solidFill>
            <a:srgbClr val="FF6600"/>
          </a:solidFill>
          <a:round/>
          <a:headEnd/>
          <a:tailEnd type="triangle" w="med" len="med"/>
        </a:ln>
      </xdr:spPr>
    </xdr:sp>
    <xdr:clientData/>
  </xdr:twoCellAnchor>
  <xdr:twoCellAnchor>
    <xdr:from>
      <xdr:col>16</xdr:col>
      <xdr:colOff>169333</xdr:colOff>
      <xdr:row>103</xdr:row>
      <xdr:rowOff>63499</xdr:rowOff>
    </xdr:from>
    <xdr:to>
      <xdr:col>16</xdr:col>
      <xdr:colOff>268112</xdr:colOff>
      <xdr:row>105</xdr:row>
      <xdr:rowOff>42332</xdr:rowOff>
    </xdr:to>
    <xdr:sp macro="" textlink="">
      <xdr:nvSpPr>
        <xdr:cNvPr id="42" name="Line 23"/>
        <xdr:cNvSpPr>
          <a:spLocks noChangeShapeType="1"/>
        </xdr:cNvSpPr>
      </xdr:nvSpPr>
      <xdr:spPr bwMode="auto">
        <a:xfrm flipV="1">
          <a:off x="10119783" y="10788649"/>
          <a:ext cx="98779" cy="448733"/>
        </a:xfrm>
        <a:prstGeom prst="line">
          <a:avLst/>
        </a:prstGeom>
        <a:noFill/>
        <a:ln w="15875">
          <a:solidFill>
            <a:srgbClr val="FF6600"/>
          </a:solidFill>
          <a:round/>
          <a:headEnd/>
          <a:tailEnd type="triangle" w="med" len="med"/>
        </a:ln>
      </xdr:spPr>
    </xdr:sp>
    <xdr:clientData/>
  </xdr:twoCellAnchor>
  <xdr:twoCellAnchor>
    <xdr:from>
      <xdr:col>17</xdr:col>
      <xdr:colOff>500944</xdr:colOff>
      <xdr:row>84</xdr:row>
      <xdr:rowOff>7054</xdr:rowOff>
    </xdr:from>
    <xdr:to>
      <xdr:col>18</xdr:col>
      <xdr:colOff>599720</xdr:colOff>
      <xdr:row>93</xdr:row>
      <xdr:rowOff>7053</xdr:rowOff>
    </xdr:to>
    <xdr:sp macro="" textlink="">
      <xdr:nvSpPr>
        <xdr:cNvPr id="43" name="Line 23"/>
        <xdr:cNvSpPr>
          <a:spLocks noChangeShapeType="1"/>
        </xdr:cNvSpPr>
      </xdr:nvSpPr>
      <xdr:spPr bwMode="auto">
        <a:xfrm flipH="1" flipV="1">
          <a:off x="11054644" y="6592004"/>
          <a:ext cx="930626" cy="1885949"/>
        </a:xfrm>
        <a:prstGeom prst="line">
          <a:avLst/>
        </a:prstGeom>
        <a:noFill/>
        <a:ln w="15875">
          <a:solidFill>
            <a:srgbClr val="FF6600"/>
          </a:solidFill>
          <a:round/>
          <a:headEnd/>
          <a:tailEnd type="triangle" w="med" len="med"/>
        </a:ln>
      </xdr:spPr>
      <xdr:txBody>
        <a:bodyPr/>
        <a:lstStyle/>
        <a:p>
          <a:endParaRPr lang="ja-JP" altLang="en-US"/>
        </a:p>
      </xdr:txBody>
    </xdr:sp>
    <xdr:clientData/>
  </xdr:twoCellAnchor>
  <xdr:twoCellAnchor>
    <xdr:from>
      <xdr:col>17</xdr:col>
      <xdr:colOff>18348</xdr:colOff>
      <xdr:row>78</xdr:row>
      <xdr:rowOff>74788</xdr:rowOff>
    </xdr:from>
    <xdr:to>
      <xdr:col>18</xdr:col>
      <xdr:colOff>7056</xdr:colOff>
      <xdr:row>83</xdr:row>
      <xdr:rowOff>208844</xdr:rowOff>
    </xdr:to>
    <xdr:sp macro="" textlink="">
      <xdr:nvSpPr>
        <xdr:cNvPr id="44" name="AutoShape 3"/>
        <xdr:cNvSpPr>
          <a:spLocks noChangeArrowheads="1"/>
        </xdr:cNvSpPr>
      </xdr:nvSpPr>
      <xdr:spPr bwMode="auto">
        <a:xfrm>
          <a:off x="10572048" y="5345288"/>
          <a:ext cx="820558" cy="1238956"/>
        </a:xfrm>
        <a:prstGeom prst="roundRect">
          <a:avLst>
            <a:gd name="adj" fmla="val 16667"/>
          </a:avLst>
        </a:prstGeom>
        <a:noFill/>
        <a:ln w="15875" algn="ctr">
          <a:solidFill>
            <a:srgbClr val="FF6600"/>
          </a:solidFill>
          <a:round/>
          <a:headEnd/>
          <a:tailEnd/>
        </a:ln>
      </xdr:spPr>
    </xdr:sp>
    <xdr:clientData/>
  </xdr:twoCellAnchor>
  <xdr:twoCellAnchor>
    <xdr:from>
      <xdr:col>18</xdr:col>
      <xdr:colOff>29635</xdr:colOff>
      <xdr:row>78</xdr:row>
      <xdr:rowOff>79021</xdr:rowOff>
    </xdr:from>
    <xdr:to>
      <xdr:col>19</xdr:col>
      <xdr:colOff>7056</xdr:colOff>
      <xdr:row>84</xdr:row>
      <xdr:rowOff>1410</xdr:rowOff>
    </xdr:to>
    <xdr:sp macro="" textlink="">
      <xdr:nvSpPr>
        <xdr:cNvPr id="45" name="AutoShape 3"/>
        <xdr:cNvSpPr>
          <a:spLocks noChangeArrowheads="1"/>
        </xdr:cNvSpPr>
      </xdr:nvSpPr>
      <xdr:spPr bwMode="auto">
        <a:xfrm>
          <a:off x="11415185" y="5349521"/>
          <a:ext cx="720371" cy="1236839"/>
        </a:xfrm>
        <a:prstGeom prst="roundRect">
          <a:avLst>
            <a:gd name="adj" fmla="val 16667"/>
          </a:avLst>
        </a:prstGeom>
        <a:noFill/>
        <a:ln w="15875" algn="ctr">
          <a:solidFill>
            <a:srgbClr val="FF6600"/>
          </a:solidFill>
          <a:round/>
          <a:headEnd/>
          <a:tailEnd/>
        </a:ln>
      </xdr:spPr>
    </xdr:sp>
    <xdr:clientData/>
  </xdr:twoCellAnchor>
  <xdr:oneCellAnchor>
    <xdr:from>
      <xdr:col>20</xdr:col>
      <xdr:colOff>192919</xdr:colOff>
      <xdr:row>81</xdr:row>
      <xdr:rowOff>190500</xdr:rowOff>
    </xdr:from>
    <xdr:ext cx="3100010" cy="1119817"/>
    <xdr:sp macro="" textlink="">
      <xdr:nvSpPr>
        <xdr:cNvPr id="46" name="AutoShape 24"/>
        <xdr:cNvSpPr>
          <a:spLocks noChangeArrowheads="1"/>
        </xdr:cNvSpPr>
      </xdr:nvSpPr>
      <xdr:spPr bwMode="auto">
        <a:xfrm>
          <a:off x="13101562" y="6204857"/>
          <a:ext cx="3100010" cy="1119817"/>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 </a:t>
          </a:r>
          <a:r>
            <a:rPr lang="en-US" altLang="ja-JP" sz="1100" b="0" i="0" baseline="0">
              <a:effectLst/>
              <a:latin typeface="+mn-lt"/>
              <a:ea typeface="+mn-ea"/>
              <a:cs typeface="+mn-cs"/>
            </a:rPr>
            <a:t>Please enter whether it is intentionally </a:t>
          </a:r>
        </a:p>
        <a:p>
          <a:pPr rtl="0"/>
          <a:r>
            <a:rPr lang="en-US" altLang="ja-JP" sz="1100" b="0" i="0" baseline="0">
              <a:effectLst/>
              <a:latin typeface="+mn-lt"/>
              <a:ea typeface="+mn-ea"/>
              <a:cs typeface="+mn-cs"/>
            </a:rPr>
            <a:t>    contained or contained as an impurity.</a:t>
          </a:r>
        </a:p>
        <a:p>
          <a:pPr rtl="0"/>
          <a:r>
            <a:rPr lang="ja-JP" altLang="en-US" sz="1100" b="0" i="0" baseline="0">
              <a:effectLst/>
              <a:latin typeface="+mn-lt"/>
              <a:ea typeface="+mn-ea"/>
              <a:cs typeface="+mn-cs"/>
            </a:rPr>
            <a:t>・  </a:t>
          </a:r>
          <a:r>
            <a:rPr lang="en-US" altLang="ja-JP" sz="1100" b="0" i="0" baseline="0">
              <a:effectLst/>
              <a:latin typeface="+mn-lt"/>
              <a:ea typeface="+mn-ea"/>
              <a:cs typeface="+mn-cs"/>
            </a:rPr>
            <a:t>This</a:t>
          </a:r>
          <a:r>
            <a:rPr lang="ja-JP" altLang="en-US" sz="1100" b="0" i="0" baseline="0">
              <a:effectLst/>
              <a:latin typeface="+mn-lt"/>
              <a:ea typeface="+mn-ea"/>
              <a:cs typeface="+mn-cs"/>
            </a:rPr>
            <a:t> </a:t>
          </a:r>
          <a:r>
            <a:rPr lang="en-US" altLang="ja-JP" sz="1100" b="0" i="0" baseline="0">
              <a:effectLst/>
              <a:latin typeface="+mn-lt"/>
              <a:ea typeface="+mn-ea"/>
              <a:cs typeface="+mn-cs"/>
            </a:rPr>
            <a:t>can be selected from </a:t>
          </a:r>
          <a:r>
            <a:rPr lang="ja-JP" altLang="en-US" sz="1100" b="0" i="0" baseline="0">
              <a:effectLst/>
              <a:latin typeface="+mn-lt"/>
              <a:ea typeface="+mn-ea"/>
              <a:cs typeface="+mn-cs"/>
            </a:rPr>
            <a:t> </a:t>
          </a:r>
          <a:r>
            <a:rPr lang="en-US" altLang="ja-JP" sz="1100" b="0" i="0" baseline="0">
              <a:effectLst/>
              <a:latin typeface="+mn-lt"/>
              <a:ea typeface="+mn-ea"/>
              <a:cs typeface="+mn-cs"/>
            </a:rPr>
            <a:t>the drop-down list </a:t>
          </a:r>
        </a:p>
        <a:p>
          <a:pPr rtl="0"/>
          <a:r>
            <a:rPr lang="ja-JP" altLang="en-US" sz="1100" b="0" i="0" baseline="0">
              <a:effectLst/>
              <a:latin typeface="+mn-lt"/>
              <a:ea typeface="+mn-ea"/>
              <a:cs typeface="+mn-cs"/>
            </a:rPr>
            <a:t>　 </a:t>
          </a:r>
          <a:r>
            <a:rPr lang="en-US" altLang="ja-JP" sz="1100" b="0" i="0" baseline="0">
              <a:effectLst/>
              <a:latin typeface="+mn-lt"/>
              <a:ea typeface="+mn-ea"/>
              <a:cs typeface="+mn-cs"/>
            </a:rPr>
            <a:t>or entered normally. </a:t>
          </a:r>
        </a:p>
        <a:p>
          <a:pPr rtl="0"/>
          <a:r>
            <a:rPr lang="en-US" altLang="ja-JP" sz="1100" b="0" i="0" baseline="0">
              <a:effectLst/>
              <a:latin typeface="+mn-lt"/>
              <a:ea typeface="+mn-ea"/>
              <a:cs typeface="+mn-cs"/>
            </a:rPr>
            <a:t>   </a:t>
          </a:r>
          <a:r>
            <a:rPr lang="ja-JP" altLang="en-US" sz="1100" b="0" i="0" baseline="0">
              <a:effectLst/>
              <a:latin typeface="+mn-lt"/>
              <a:ea typeface="+mn-ea"/>
              <a:cs typeface="+mn-cs"/>
            </a:rPr>
            <a:t> </a:t>
          </a:r>
          <a:r>
            <a:rPr lang="en-US" altLang="ja-JP" sz="1100" b="0" i="0" baseline="0">
              <a:effectLst/>
              <a:latin typeface="+mn-lt"/>
              <a:ea typeface="+mn-ea"/>
              <a:cs typeface="+mn-cs"/>
            </a:rPr>
            <a:t>Please choose any.</a:t>
          </a:r>
        </a:p>
        <a:p>
          <a:pPr rtl="0"/>
          <a:endParaRPr lang="en-US" altLang="ja-JP" sz="1100" b="0" i="0" baseline="0">
            <a:effectLst/>
            <a:latin typeface="+mn-lt"/>
            <a:ea typeface="+mn-ea"/>
            <a:cs typeface="+mn-cs"/>
          </a:endParaRPr>
        </a:p>
      </xdr:txBody>
    </xdr:sp>
    <xdr:clientData/>
  </xdr:oneCellAnchor>
  <xdr:twoCellAnchor>
    <xdr:from>
      <xdr:col>19</xdr:col>
      <xdr:colOff>12702</xdr:colOff>
      <xdr:row>78</xdr:row>
      <xdr:rowOff>90310</xdr:rowOff>
    </xdr:from>
    <xdr:to>
      <xdr:col>19</xdr:col>
      <xdr:colOff>730956</xdr:colOff>
      <xdr:row>84</xdr:row>
      <xdr:rowOff>12699</xdr:rowOff>
    </xdr:to>
    <xdr:sp macro="" textlink="">
      <xdr:nvSpPr>
        <xdr:cNvPr id="47" name="AutoShape 3"/>
        <xdr:cNvSpPr>
          <a:spLocks noChangeArrowheads="1"/>
        </xdr:cNvSpPr>
      </xdr:nvSpPr>
      <xdr:spPr bwMode="auto">
        <a:xfrm>
          <a:off x="12141202" y="5360810"/>
          <a:ext cx="718254" cy="1236839"/>
        </a:xfrm>
        <a:prstGeom prst="roundRect">
          <a:avLst>
            <a:gd name="adj" fmla="val 16667"/>
          </a:avLst>
        </a:prstGeom>
        <a:noFill/>
        <a:ln w="15875" algn="ctr">
          <a:solidFill>
            <a:srgbClr val="FF6600"/>
          </a:solidFill>
          <a:round/>
          <a:headEnd/>
          <a:tailEnd/>
        </a:ln>
      </xdr:spPr>
    </xdr:sp>
    <xdr:clientData/>
  </xdr:twoCellAnchor>
  <xdr:twoCellAnchor>
    <xdr:from>
      <xdr:col>19</xdr:col>
      <xdr:colOff>451556</xdr:colOff>
      <xdr:row>84</xdr:row>
      <xdr:rowOff>49389</xdr:rowOff>
    </xdr:from>
    <xdr:to>
      <xdr:col>20</xdr:col>
      <xdr:colOff>176388</xdr:colOff>
      <xdr:row>85</xdr:row>
      <xdr:rowOff>169333</xdr:rowOff>
    </xdr:to>
    <xdr:sp macro="" textlink="">
      <xdr:nvSpPr>
        <xdr:cNvPr id="48" name="Line 23"/>
        <xdr:cNvSpPr>
          <a:spLocks noChangeShapeType="1"/>
        </xdr:cNvSpPr>
      </xdr:nvSpPr>
      <xdr:spPr bwMode="auto">
        <a:xfrm flipH="1" flipV="1">
          <a:off x="12580056" y="6634339"/>
          <a:ext cx="467782" cy="329494"/>
        </a:xfrm>
        <a:prstGeom prst="line">
          <a:avLst/>
        </a:prstGeom>
        <a:noFill/>
        <a:ln w="15875">
          <a:solidFill>
            <a:schemeClr val="accent6">
              <a:lumMod val="75000"/>
            </a:schemeClr>
          </a:solidFill>
          <a:round/>
          <a:headEnd/>
          <a:tailEnd type="triangle" w="med" len="med"/>
        </a:ln>
      </xdr:spPr>
    </xdr:sp>
    <xdr:clientData/>
  </xdr:twoCellAnchor>
  <xdr:oneCellAnchor>
    <xdr:from>
      <xdr:col>18</xdr:col>
      <xdr:colOff>475140</xdr:colOff>
      <xdr:row>88</xdr:row>
      <xdr:rowOff>49388</xdr:rowOff>
    </xdr:from>
    <xdr:ext cx="4573109" cy="561800"/>
    <xdr:sp macro="" textlink="">
      <xdr:nvSpPr>
        <xdr:cNvPr id="49" name="AutoShape 24"/>
        <xdr:cNvSpPr>
          <a:spLocks noChangeArrowheads="1"/>
        </xdr:cNvSpPr>
      </xdr:nvSpPr>
      <xdr:spPr bwMode="auto">
        <a:xfrm>
          <a:off x="11865453" y="7399513"/>
          <a:ext cx="4573109" cy="561800"/>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en-US" altLang="ja-JP" sz="1100" b="0" i="0" baseline="0">
              <a:effectLst/>
              <a:latin typeface="+mn-lt"/>
              <a:ea typeface="+mn-ea"/>
              <a:cs typeface="+mn-cs"/>
            </a:rPr>
            <a:t>If When prohibited substances are used for exemption of the RoHS Directive, </a:t>
          </a:r>
        </a:p>
        <a:p>
          <a:pPr rtl="0"/>
          <a:r>
            <a:rPr lang="en-US" altLang="ja-JP" sz="1100" b="0" i="0" baseline="0">
              <a:effectLst/>
              <a:latin typeface="+mn-lt"/>
              <a:ea typeface="+mn-ea"/>
              <a:cs typeface="+mn-cs"/>
            </a:rPr>
            <a:t>enter the exemption number.</a:t>
          </a:r>
          <a:endParaRPr lang="ja-JP" altLang="en-US" sz="1100" b="0" i="0" baseline="0">
            <a:effectLst/>
            <a:latin typeface="+mn-lt"/>
            <a:ea typeface="+mn-ea"/>
            <a:cs typeface="+mn-cs"/>
          </a:endParaRPr>
        </a:p>
      </xdr:txBody>
    </xdr:sp>
    <xdr:clientData/>
  </xdr:oneCellAnchor>
  <xdr:twoCellAnchor>
    <xdr:from>
      <xdr:col>18</xdr:col>
      <xdr:colOff>402166</xdr:colOff>
      <xdr:row>84</xdr:row>
      <xdr:rowOff>14111</xdr:rowOff>
    </xdr:from>
    <xdr:to>
      <xdr:col>19</xdr:col>
      <xdr:colOff>141110</xdr:colOff>
      <xdr:row>87</xdr:row>
      <xdr:rowOff>204611</xdr:rowOff>
    </xdr:to>
    <xdr:sp macro="" textlink="">
      <xdr:nvSpPr>
        <xdr:cNvPr id="50" name="Line 23"/>
        <xdr:cNvSpPr>
          <a:spLocks noChangeShapeType="1"/>
        </xdr:cNvSpPr>
      </xdr:nvSpPr>
      <xdr:spPr bwMode="auto">
        <a:xfrm flipH="1" flipV="1">
          <a:off x="11787716" y="6599061"/>
          <a:ext cx="481894" cy="819150"/>
        </a:xfrm>
        <a:prstGeom prst="line">
          <a:avLst/>
        </a:prstGeom>
        <a:noFill/>
        <a:ln w="15875">
          <a:solidFill>
            <a:schemeClr val="accent6">
              <a:lumMod val="75000"/>
            </a:schemeClr>
          </a:solidFill>
          <a:round/>
          <a:headEnd/>
          <a:tailEnd type="triangle" w="med" len="med"/>
        </a:ln>
      </xdr:spPr>
    </xdr:sp>
    <xdr:clientData/>
  </xdr:twoCellAnchor>
  <xdr:oneCellAnchor>
    <xdr:from>
      <xdr:col>12</xdr:col>
      <xdr:colOff>452438</xdr:colOff>
      <xdr:row>88</xdr:row>
      <xdr:rowOff>126999</xdr:rowOff>
    </xdr:from>
    <xdr:ext cx="4286250" cy="1227667"/>
    <xdr:sp macro="" textlink="">
      <xdr:nvSpPr>
        <xdr:cNvPr id="51" name="AutoShape 24"/>
        <xdr:cNvSpPr>
          <a:spLocks noChangeArrowheads="1"/>
        </xdr:cNvSpPr>
      </xdr:nvSpPr>
      <xdr:spPr bwMode="auto">
        <a:xfrm>
          <a:off x="7024688" y="7477124"/>
          <a:ext cx="4286250" cy="1227667"/>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 </a:t>
          </a:r>
          <a:r>
            <a:rPr lang="en-US" altLang="ja-JP" sz="1100" b="0" i="0" baseline="0">
              <a:effectLst/>
              <a:latin typeface="+mn-lt"/>
              <a:ea typeface="+mn-ea"/>
              <a:cs typeface="+mn-cs"/>
            </a:rPr>
            <a:t>Please enter the CAS number that is paired with the substance name.</a:t>
          </a:r>
        </a:p>
        <a:p>
          <a:pPr rtl="0"/>
          <a:r>
            <a:rPr lang="ja-JP" altLang="en-US" sz="1100" b="0" i="0" baseline="0">
              <a:effectLst/>
              <a:latin typeface="+mn-lt"/>
              <a:ea typeface="+mn-ea"/>
              <a:cs typeface="+mn-cs"/>
            </a:rPr>
            <a:t>　</a:t>
          </a:r>
          <a:r>
            <a:rPr lang="en-US" altLang="ja-JP" sz="1100" b="0" i="0" baseline="0">
              <a:effectLst/>
              <a:latin typeface="+mn-lt"/>
              <a:ea typeface="+mn-ea"/>
              <a:cs typeface="+mn-cs"/>
            </a:rPr>
            <a:t>If the content is confidential, </a:t>
          </a:r>
          <a:r>
            <a:rPr lang="ja-JP" altLang="en-US" sz="1100" b="0" i="0" baseline="0">
              <a:effectLst/>
              <a:latin typeface="+mn-lt"/>
              <a:ea typeface="+mn-ea"/>
              <a:cs typeface="+mn-cs"/>
            </a:rPr>
            <a:t>　</a:t>
          </a:r>
          <a:r>
            <a:rPr lang="en-US" altLang="ja-JP" sz="1100" b="0" i="0" baseline="0">
              <a:effectLst/>
              <a:latin typeface="+mn-lt"/>
              <a:ea typeface="+mn-ea"/>
              <a:cs typeface="+mn-cs"/>
            </a:rPr>
            <a:t>please enter ”Confidential” </a:t>
          </a:r>
        </a:p>
        <a:p>
          <a:pPr rtl="0"/>
          <a:r>
            <a:rPr lang="ja-JP" altLang="en-US" sz="1100" b="0" i="0" baseline="0">
              <a:effectLst/>
              <a:latin typeface="+mn-lt"/>
              <a:ea typeface="+mn-ea"/>
              <a:cs typeface="+mn-cs"/>
            </a:rPr>
            <a:t>　</a:t>
          </a:r>
          <a:r>
            <a:rPr lang="en-US" altLang="ja-JP" sz="1100" b="0" i="0" baseline="0">
              <a:effectLst/>
              <a:latin typeface="+mn-lt"/>
              <a:ea typeface="+mn-ea"/>
              <a:cs typeface="+mn-cs"/>
            </a:rPr>
            <a:t>in the substance name column.</a:t>
          </a:r>
        </a:p>
        <a:p>
          <a:pPr rtl="0"/>
          <a:r>
            <a:rPr lang="ja-JP" altLang="en-US" sz="1100" b="0" i="0" baseline="0">
              <a:effectLst/>
              <a:latin typeface="+mn-lt"/>
              <a:ea typeface="+mn-ea"/>
              <a:cs typeface="+mn-cs"/>
            </a:rPr>
            <a:t>・</a:t>
          </a:r>
          <a:r>
            <a:rPr lang="en-US" altLang="ja-JP" sz="1100" b="0" i="0" baseline="0">
              <a:effectLst/>
              <a:latin typeface="+mn-lt"/>
              <a:ea typeface="+mn-ea"/>
              <a:cs typeface="+mn-cs"/>
            </a:rPr>
            <a:t>Please fill in the concentration of the substance for each region.</a:t>
          </a:r>
        </a:p>
        <a:p>
          <a:pPr rtl="0"/>
          <a:r>
            <a:rPr lang="en-US" altLang="ja-JP" sz="1100" b="0" i="0" baseline="0">
              <a:effectLst/>
              <a:latin typeface="+mn-lt"/>
              <a:ea typeface="+mn-ea"/>
              <a:cs typeface="+mn-cs"/>
            </a:rPr>
            <a:t>(The total region mass shall be 100% of product mass. )</a:t>
          </a:r>
          <a:endParaRPr lang="ja-JP" altLang="ja-JP">
            <a:effectLst/>
          </a:endParaRPr>
        </a:p>
      </xdr:txBody>
    </xdr:sp>
    <xdr:clientData/>
  </xdr:oneCellAnchor>
  <xdr:twoCellAnchor>
    <xdr:from>
      <xdr:col>13</xdr:col>
      <xdr:colOff>934357</xdr:colOff>
      <xdr:row>103</xdr:row>
      <xdr:rowOff>28222</xdr:rowOff>
    </xdr:from>
    <xdr:to>
      <xdr:col>16</xdr:col>
      <xdr:colOff>98776</xdr:colOff>
      <xdr:row>108</xdr:row>
      <xdr:rowOff>72571</xdr:rowOff>
    </xdr:to>
    <xdr:sp macro="" textlink="">
      <xdr:nvSpPr>
        <xdr:cNvPr id="52" name="Line 23"/>
        <xdr:cNvSpPr>
          <a:spLocks noChangeShapeType="1"/>
        </xdr:cNvSpPr>
      </xdr:nvSpPr>
      <xdr:spPr bwMode="auto">
        <a:xfrm flipV="1">
          <a:off x="8109857" y="10753372"/>
          <a:ext cx="1939369" cy="1123849"/>
        </a:xfrm>
        <a:prstGeom prst="line">
          <a:avLst/>
        </a:prstGeom>
        <a:noFill/>
        <a:ln w="15875">
          <a:solidFill>
            <a:srgbClr val="FF6600"/>
          </a:solidFill>
          <a:round/>
          <a:headEnd/>
          <a:tailEnd type="triangle" w="med" len="med"/>
        </a:ln>
      </xdr:spPr>
    </xdr:sp>
    <xdr:clientData/>
  </xdr:twoCellAnchor>
  <xdr:twoCellAnchor>
    <xdr:from>
      <xdr:col>12</xdr:col>
      <xdr:colOff>218722</xdr:colOff>
      <xdr:row>103</xdr:row>
      <xdr:rowOff>63500</xdr:rowOff>
    </xdr:from>
    <xdr:to>
      <xdr:col>13</xdr:col>
      <xdr:colOff>108857</xdr:colOff>
      <xdr:row>108</xdr:row>
      <xdr:rowOff>36285</xdr:rowOff>
    </xdr:to>
    <xdr:sp macro="" textlink="">
      <xdr:nvSpPr>
        <xdr:cNvPr id="53" name="Line 23"/>
        <xdr:cNvSpPr>
          <a:spLocks noChangeShapeType="1"/>
        </xdr:cNvSpPr>
      </xdr:nvSpPr>
      <xdr:spPr bwMode="auto">
        <a:xfrm flipH="1" flipV="1">
          <a:off x="6790972" y="10788650"/>
          <a:ext cx="493385" cy="1052285"/>
        </a:xfrm>
        <a:prstGeom prst="line">
          <a:avLst/>
        </a:prstGeom>
        <a:noFill/>
        <a:ln w="15875">
          <a:solidFill>
            <a:srgbClr val="FF6600"/>
          </a:solidFill>
          <a:round/>
          <a:headEnd/>
          <a:tailEnd type="triangle" w="med" len="med"/>
        </a:ln>
      </xdr:spPr>
    </xdr:sp>
    <xdr:clientData/>
  </xdr:twoCellAnchor>
  <xdr:twoCellAnchor>
    <xdr:from>
      <xdr:col>2</xdr:col>
      <xdr:colOff>112889</xdr:colOff>
      <xdr:row>23</xdr:row>
      <xdr:rowOff>155222</xdr:rowOff>
    </xdr:from>
    <xdr:to>
      <xdr:col>3</xdr:col>
      <xdr:colOff>239889</xdr:colOff>
      <xdr:row>24</xdr:row>
      <xdr:rowOff>84667</xdr:rowOff>
    </xdr:to>
    <xdr:sp macro="" textlink="">
      <xdr:nvSpPr>
        <xdr:cNvPr id="54" name="Line 23"/>
        <xdr:cNvSpPr>
          <a:spLocks noChangeShapeType="1"/>
        </xdr:cNvSpPr>
      </xdr:nvSpPr>
      <xdr:spPr bwMode="auto">
        <a:xfrm flipV="1">
          <a:off x="1420989" y="5057422"/>
          <a:ext cx="730250" cy="170745"/>
        </a:xfrm>
        <a:prstGeom prst="line">
          <a:avLst/>
        </a:prstGeom>
        <a:noFill/>
        <a:ln w="15875">
          <a:solidFill>
            <a:schemeClr val="accent6">
              <a:lumMod val="75000"/>
            </a:schemeClr>
          </a:solidFill>
          <a:round/>
          <a:headEnd/>
          <a:tailEnd type="triangle" w="med" len="med"/>
        </a:ln>
      </xdr:spPr>
    </xdr:sp>
    <xdr:clientData/>
  </xdr:twoCellAnchor>
  <xdr:oneCellAnchor>
    <xdr:from>
      <xdr:col>0</xdr:col>
      <xdr:colOff>188688</xdr:colOff>
      <xdr:row>24</xdr:row>
      <xdr:rowOff>42334</xdr:rowOff>
    </xdr:from>
    <xdr:ext cx="2499479" cy="282221"/>
    <xdr:sp macro="" textlink="">
      <xdr:nvSpPr>
        <xdr:cNvPr id="55" name="AutoShape 24"/>
        <xdr:cNvSpPr>
          <a:spLocks noChangeArrowheads="1"/>
        </xdr:cNvSpPr>
      </xdr:nvSpPr>
      <xdr:spPr bwMode="auto">
        <a:xfrm>
          <a:off x="188688" y="5185834"/>
          <a:ext cx="2499479" cy="28222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en-US" altLang="ja-JP">
              <a:effectLst/>
            </a:rPr>
            <a:t>First, enter the product Mass.</a:t>
          </a:r>
        </a:p>
      </xdr:txBody>
    </xdr:sp>
    <xdr:clientData/>
  </xdr:oneCellAnchor>
  <xdr:oneCellAnchor>
    <xdr:from>
      <xdr:col>7</xdr:col>
      <xdr:colOff>833438</xdr:colOff>
      <xdr:row>107</xdr:row>
      <xdr:rowOff>142875</xdr:rowOff>
    </xdr:from>
    <xdr:ext cx="4270375" cy="412750"/>
    <xdr:sp macro="" textlink="">
      <xdr:nvSpPr>
        <xdr:cNvPr id="56" name="AutoShape 24"/>
        <xdr:cNvSpPr>
          <a:spLocks noChangeArrowheads="1"/>
        </xdr:cNvSpPr>
      </xdr:nvSpPr>
      <xdr:spPr bwMode="auto">
        <a:xfrm>
          <a:off x="5040313" y="11636375"/>
          <a:ext cx="4270375" cy="412750"/>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a:t>
          </a:r>
          <a:r>
            <a:rPr lang="en-US" altLang="ja-JP" sz="1100" b="0" i="0" baseline="0">
              <a:effectLst/>
              <a:latin typeface="+mn-lt"/>
              <a:ea typeface="+mn-ea"/>
              <a:cs typeface="+mn-cs"/>
            </a:rPr>
            <a:t>Finally,Confirm that the masses at the three locations will be the same.</a:t>
          </a:r>
        </a:p>
      </xdr:txBody>
    </xdr:sp>
    <xdr:clientData/>
  </xdr:oneCellAnchor>
  <xdr:oneCellAnchor>
    <xdr:from>
      <xdr:col>17</xdr:col>
      <xdr:colOff>533402</xdr:colOff>
      <xdr:row>20</xdr:row>
      <xdr:rowOff>171450</xdr:rowOff>
    </xdr:from>
    <xdr:ext cx="4629150" cy="451304"/>
    <xdr:sp macro="" textlink="">
      <xdr:nvSpPr>
        <xdr:cNvPr id="57" name="AutoShape 24"/>
        <xdr:cNvSpPr>
          <a:spLocks noChangeArrowheads="1"/>
        </xdr:cNvSpPr>
      </xdr:nvSpPr>
      <xdr:spPr bwMode="auto">
        <a:xfrm>
          <a:off x="11087102" y="4349750"/>
          <a:ext cx="4629150" cy="451304"/>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en-US" altLang="ja-JP" sz="1100">
              <a:effectLst/>
              <a:latin typeface="+mn-lt"/>
              <a:ea typeface="+mn-ea"/>
              <a:cs typeface="+mn-cs"/>
            </a:rPr>
            <a:t>Please write the MinebeaMitsumi Group's product name, product number, </a:t>
          </a:r>
        </a:p>
        <a:p>
          <a:pPr rtl="0"/>
          <a:r>
            <a:rPr lang="en-US" altLang="ja-JP" sz="1100">
              <a:effectLst/>
              <a:latin typeface="+mn-lt"/>
              <a:ea typeface="+mn-ea"/>
              <a:cs typeface="+mn-cs"/>
            </a:rPr>
            <a:t>drawing number, etc. to the best of your knowledge.</a:t>
          </a:r>
          <a:endParaRPr lang="ja-JP" altLang="ja-JP">
            <a:effectLst/>
          </a:endParaRPr>
        </a:p>
      </xdr:txBody>
    </xdr:sp>
    <xdr:clientData/>
  </xdr:oneCellAnchor>
  <xdr:oneCellAnchor>
    <xdr:from>
      <xdr:col>17</xdr:col>
      <xdr:colOff>567872</xdr:colOff>
      <xdr:row>17</xdr:row>
      <xdr:rowOff>112486</xdr:rowOff>
    </xdr:from>
    <xdr:ext cx="4232728" cy="478064"/>
    <xdr:sp macro="" textlink="">
      <xdr:nvSpPr>
        <xdr:cNvPr id="58" name="AutoShape 24"/>
        <xdr:cNvSpPr>
          <a:spLocks noChangeArrowheads="1"/>
        </xdr:cNvSpPr>
      </xdr:nvSpPr>
      <xdr:spPr bwMode="auto">
        <a:xfrm>
          <a:off x="11121572" y="3738336"/>
          <a:ext cx="4232728" cy="478064"/>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en-US" altLang="ja-JP" sz="1100">
              <a:effectLst/>
              <a:latin typeface="+mn-lt"/>
              <a:ea typeface="+mn-ea"/>
              <a:cs typeface="+mn-cs"/>
            </a:rPr>
            <a:t>Pease write your product name, product number, figure number, etc. </a:t>
          </a:r>
        </a:p>
        <a:p>
          <a:pPr rtl="0"/>
          <a:r>
            <a:rPr lang="en-US" altLang="ja-JP" sz="1100">
              <a:effectLst/>
              <a:latin typeface="+mn-lt"/>
              <a:ea typeface="+mn-ea"/>
              <a:cs typeface="+mn-cs"/>
            </a:rPr>
            <a:t>If you are an agent, please enter the manufacturer name of the product.</a:t>
          </a:r>
          <a:endParaRPr lang="ja-JP" altLang="ja-JP">
            <a:effectLst/>
          </a:endParaRPr>
        </a:p>
      </xdr:txBody>
    </xdr:sp>
    <xdr:clientData/>
  </xdr:oneCellAnchor>
  <xdr:oneCellAnchor>
    <xdr:from>
      <xdr:col>0</xdr:col>
      <xdr:colOff>81643</xdr:colOff>
      <xdr:row>0</xdr:row>
      <xdr:rowOff>127001</xdr:rowOff>
    </xdr:from>
    <xdr:ext cx="10123714" cy="357187"/>
    <xdr:sp macro="" textlink="">
      <xdr:nvSpPr>
        <xdr:cNvPr id="59" name="AutoShape 24"/>
        <xdr:cNvSpPr>
          <a:spLocks noChangeArrowheads="1"/>
        </xdr:cNvSpPr>
      </xdr:nvSpPr>
      <xdr:spPr bwMode="auto">
        <a:xfrm>
          <a:off x="81643" y="127001"/>
          <a:ext cx="10123714" cy="357187"/>
        </a:xfrm>
        <a:prstGeom prst="roundRect">
          <a:avLst>
            <a:gd name="adj" fmla="val 16667"/>
          </a:avLst>
        </a:prstGeom>
        <a:solidFill>
          <a:schemeClr val="accent5">
            <a:lumMod val="40000"/>
            <a:lumOff val="6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en-US" altLang="ja-JP">
              <a:effectLst/>
            </a:rPr>
            <a:t>If there are 20 or less regions to report, use the “Survey Report for 20 Regions” sheet. If  there are more than 20, use the “Survey Report for 60 Regions” sheet.</a:t>
          </a:r>
          <a:endParaRPr lang="ja-JP" altLang="ja-JP">
            <a:effectLst/>
          </a:endParaRPr>
        </a:p>
      </xdr:txBody>
    </xdr:sp>
    <xdr:clientData/>
  </xdr:oneCellAnchor>
  <xdr:oneCellAnchor>
    <xdr:from>
      <xdr:col>12</xdr:col>
      <xdr:colOff>532267</xdr:colOff>
      <xdr:row>98</xdr:row>
      <xdr:rowOff>82977</xdr:rowOff>
    </xdr:from>
    <xdr:ext cx="2816223" cy="574324"/>
    <xdr:sp macro="" textlink="">
      <xdr:nvSpPr>
        <xdr:cNvPr id="37" name="AutoShape 24"/>
        <xdr:cNvSpPr>
          <a:spLocks noChangeArrowheads="1"/>
        </xdr:cNvSpPr>
      </xdr:nvSpPr>
      <xdr:spPr bwMode="auto">
        <a:xfrm>
          <a:off x="7118124" y="9644263"/>
          <a:ext cx="2816223" cy="574324"/>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r>
            <a:rPr lang="ja-JP" altLang="en-US"/>
            <a:t>・ </a:t>
          </a:r>
          <a:r>
            <a:rPr lang="en-US" altLang="ja-JP"/>
            <a:t>It is automatically calculated and described.</a:t>
          </a:r>
          <a:br>
            <a:rPr lang="en-US" altLang="ja-JP"/>
          </a:br>
          <a:r>
            <a:rPr lang="ja-JP" altLang="en-US"/>
            <a:t>・ </a:t>
          </a:r>
          <a:r>
            <a:rPr lang="en-US" altLang="ja-JP"/>
            <a:t>You cannot enter.</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888999</xdr:colOff>
      <xdr:row>23</xdr:row>
      <xdr:rowOff>204611</xdr:rowOff>
    </xdr:from>
    <xdr:to>
      <xdr:col>8</xdr:col>
      <xdr:colOff>616857</xdr:colOff>
      <xdr:row>108</xdr:row>
      <xdr:rowOff>54428</xdr:rowOff>
    </xdr:to>
    <xdr:sp macro="" textlink="">
      <xdr:nvSpPr>
        <xdr:cNvPr id="2" name="Line 23"/>
        <xdr:cNvSpPr>
          <a:spLocks noChangeShapeType="1"/>
        </xdr:cNvSpPr>
      </xdr:nvSpPr>
      <xdr:spPr bwMode="auto">
        <a:xfrm flipH="1" flipV="1">
          <a:off x="2800349" y="4687711"/>
          <a:ext cx="2902858" cy="6752267"/>
        </a:xfrm>
        <a:prstGeom prst="line">
          <a:avLst/>
        </a:prstGeom>
        <a:noFill/>
        <a:ln w="15875">
          <a:solidFill>
            <a:srgbClr val="FF6600"/>
          </a:solidFill>
          <a:round/>
          <a:headEnd/>
          <a:tailEnd type="triangle" w="med" len="med"/>
        </a:ln>
      </xdr:spPr>
    </xdr:sp>
    <xdr:clientData/>
  </xdr:twoCellAnchor>
  <xdr:twoCellAnchor>
    <xdr:from>
      <xdr:col>0</xdr:col>
      <xdr:colOff>136978</xdr:colOff>
      <xdr:row>8</xdr:row>
      <xdr:rowOff>238579</xdr:rowOff>
    </xdr:from>
    <xdr:to>
      <xdr:col>8</xdr:col>
      <xdr:colOff>45356</xdr:colOff>
      <xdr:row>11</xdr:row>
      <xdr:rowOff>40368</xdr:rowOff>
    </xdr:to>
    <xdr:sp macro="" textlink="">
      <xdr:nvSpPr>
        <xdr:cNvPr id="3" name="AutoShape 3"/>
        <xdr:cNvSpPr>
          <a:spLocks noChangeArrowheads="1"/>
        </xdr:cNvSpPr>
      </xdr:nvSpPr>
      <xdr:spPr bwMode="auto">
        <a:xfrm>
          <a:off x="136978" y="1438729"/>
          <a:ext cx="4994728" cy="525689"/>
        </a:xfrm>
        <a:prstGeom prst="roundRect">
          <a:avLst>
            <a:gd name="adj" fmla="val 16667"/>
          </a:avLst>
        </a:prstGeom>
        <a:noFill/>
        <a:ln w="15875" algn="ctr">
          <a:solidFill>
            <a:srgbClr val="FF6600"/>
          </a:solidFill>
          <a:round/>
          <a:headEnd/>
          <a:tailEnd/>
        </a:ln>
      </xdr:spPr>
    </xdr:sp>
    <xdr:clientData/>
  </xdr:twoCellAnchor>
  <xdr:twoCellAnchor>
    <xdr:from>
      <xdr:col>8</xdr:col>
      <xdr:colOff>36284</xdr:colOff>
      <xdr:row>7</xdr:row>
      <xdr:rowOff>217713</xdr:rowOff>
    </xdr:from>
    <xdr:to>
      <xdr:col>9</xdr:col>
      <xdr:colOff>235855</xdr:colOff>
      <xdr:row>9</xdr:row>
      <xdr:rowOff>54429</xdr:rowOff>
    </xdr:to>
    <xdr:sp macro="" textlink="">
      <xdr:nvSpPr>
        <xdr:cNvPr id="4" name="Line 23"/>
        <xdr:cNvSpPr>
          <a:spLocks noChangeShapeType="1"/>
        </xdr:cNvSpPr>
      </xdr:nvSpPr>
      <xdr:spPr bwMode="auto">
        <a:xfrm flipH="1">
          <a:off x="5122634" y="1176563"/>
          <a:ext cx="1082221" cy="319316"/>
        </a:xfrm>
        <a:prstGeom prst="line">
          <a:avLst/>
        </a:prstGeom>
        <a:noFill/>
        <a:ln w="15875">
          <a:solidFill>
            <a:srgbClr val="FF6600"/>
          </a:solidFill>
          <a:round/>
          <a:headEnd/>
          <a:tailEnd type="triangle" w="med" len="med"/>
        </a:ln>
      </xdr:spPr>
    </xdr:sp>
    <xdr:clientData/>
  </xdr:twoCellAnchor>
  <xdr:twoCellAnchor>
    <xdr:from>
      <xdr:col>13</xdr:col>
      <xdr:colOff>81644</xdr:colOff>
      <xdr:row>15</xdr:row>
      <xdr:rowOff>201838</xdr:rowOff>
    </xdr:from>
    <xdr:to>
      <xdr:col>17</xdr:col>
      <xdr:colOff>103870</xdr:colOff>
      <xdr:row>17</xdr:row>
      <xdr:rowOff>18143</xdr:rowOff>
    </xdr:to>
    <xdr:sp macro="" textlink="">
      <xdr:nvSpPr>
        <xdr:cNvPr id="5" name="AutoShape 3"/>
        <xdr:cNvSpPr>
          <a:spLocks noChangeArrowheads="1"/>
        </xdr:cNvSpPr>
      </xdr:nvSpPr>
      <xdr:spPr bwMode="auto">
        <a:xfrm>
          <a:off x="7257144" y="2925988"/>
          <a:ext cx="3400426" cy="298905"/>
        </a:xfrm>
        <a:prstGeom prst="roundRect">
          <a:avLst>
            <a:gd name="adj" fmla="val 16667"/>
          </a:avLst>
        </a:prstGeom>
        <a:noFill/>
        <a:ln w="15875" algn="ctr">
          <a:solidFill>
            <a:schemeClr val="accent6">
              <a:lumMod val="75000"/>
            </a:schemeClr>
          </a:solidFill>
          <a:round/>
          <a:headEnd/>
          <a:tailEnd/>
        </a:ln>
      </xdr:spPr>
    </xdr:sp>
    <xdr:clientData/>
  </xdr:twoCellAnchor>
  <xdr:oneCellAnchor>
    <xdr:from>
      <xdr:col>18</xdr:col>
      <xdr:colOff>175077</xdr:colOff>
      <xdr:row>12</xdr:row>
      <xdr:rowOff>90260</xdr:rowOff>
    </xdr:from>
    <xdr:ext cx="1330780" cy="408668"/>
    <xdr:sp macro="" textlink="">
      <xdr:nvSpPr>
        <xdr:cNvPr id="6" name="AutoShape 24"/>
        <xdr:cNvSpPr>
          <a:spLocks noChangeArrowheads="1"/>
        </xdr:cNvSpPr>
      </xdr:nvSpPr>
      <xdr:spPr bwMode="auto">
        <a:xfrm>
          <a:off x="11596006" y="2584903"/>
          <a:ext cx="1330780" cy="408668"/>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ja-JP" altLang="ja-JP" sz="1100" b="0" i="0" baseline="0">
              <a:effectLst/>
              <a:latin typeface="+mn-lt"/>
              <a:ea typeface="+mn-ea"/>
              <a:cs typeface="+mn-cs"/>
            </a:rPr>
            <a:t>由供应商填写</a:t>
          </a:r>
          <a:endParaRPr lang="ja-JP" altLang="ja-JP">
            <a:effectLst/>
          </a:endParaRPr>
        </a:p>
      </xdr:txBody>
    </xdr:sp>
    <xdr:clientData/>
  </xdr:oneCellAnchor>
  <xdr:twoCellAnchor>
    <xdr:from>
      <xdr:col>17</xdr:col>
      <xdr:colOff>217713</xdr:colOff>
      <xdr:row>13</xdr:row>
      <xdr:rowOff>23132</xdr:rowOff>
    </xdr:from>
    <xdr:to>
      <xdr:col>18</xdr:col>
      <xdr:colOff>175076</xdr:colOff>
      <xdr:row>13</xdr:row>
      <xdr:rowOff>172357</xdr:rowOff>
    </xdr:to>
    <xdr:sp macro="" textlink="">
      <xdr:nvSpPr>
        <xdr:cNvPr id="7" name="Line 23"/>
        <xdr:cNvSpPr>
          <a:spLocks noChangeShapeType="1"/>
        </xdr:cNvSpPr>
      </xdr:nvSpPr>
      <xdr:spPr bwMode="auto">
        <a:xfrm flipH="1">
          <a:off x="10771413" y="2264682"/>
          <a:ext cx="789213" cy="149225"/>
        </a:xfrm>
        <a:prstGeom prst="line">
          <a:avLst/>
        </a:prstGeom>
        <a:noFill/>
        <a:ln w="15875">
          <a:solidFill>
            <a:srgbClr val="FF6600"/>
          </a:solidFill>
          <a:round/>
          <a:headEnd/>
          <a:tailEnd type="triangle" w="med" len="med"/>
        </a:ln>
      </xdr:spPr>
    </xdr:sp>
    <xdr:clientData/>
  </xdr:twoCellAnchor>
  <xdr:twoCellAnchor>
    <xdr:from>
      <xdr:col>0</xdr:col>
      <xdr:colOff>127191</xdr:colOff>
      <xdr:row>18</xdr:row>
      <xdr:rowOff>153761</xdr:rowOff>
    </xdr:from>
    <xdr:to>
      <xdr:col>17</xdr:col>
      <xdr:colOff>127000</xdr:colOff>
      <xdr:row>20</xdr:row>
      <xdr:rowOff>0</xdr:rowOff>
    </xdr:to>
    <xdr:sp macro="" textlink="">
      <xdr:nvSpPr>
        <xdr:cNvPr id="9" name="AutoShape 3"/>
        <xdr:cNvSpPr>
          <a:spLocks noChangeArrowheads="1"/>
        </xdr:cNvSpPr>
      </xdr:nvSpPr>
      <xdr:spPr bwMode="auto">
        <a:xfrm>
          <a:off x="127191" y="3487511"/>
          <a:ext cx="10553509" cy="271689"/>
        </a:xfrm>
        <a:prstGeom prst="roundRect">
          <a:avLst>
            <a:gd name="adj" fmla="val 16667"/>
          </a:avLst>
        </a:prstGeom>
        <a:noFill/>
        <a:ln w="15875" algn="ctr">
          <a:solidFill>
            <a:srgbClr val="FF6600"/>
          </a:solidFill>
          <a:round/>
          <a:headEnd/>
          <a:tailEnd/>
        </a:ln>
      </xdr:spPr>
    </xdr:sp>
    <xdr:clientData/>
  </xdr:twoCellAnchor>
  <xdr:twoCellAnchor>
    <xdr:from>
      <xdr:col>17</xdr:col>
      <xdr:colOff>145143</xdr:colOff>
      <xdr:row>19</xdr:row>
      <xdr:rowOff>63500</xdr:rowOff>
    </xdr:from>
    <xdr:to>
      <xdr:col>17</xdr:col>
      <xdr:colOff>571499</xdr:colOff>
      <xdr:row>19</xdr:row>
      <xdr:rowOff>81643</xdr:rowOff>
    </xdr:to>
    <xdr:sp macro="" textlink="">
      <xdr:nvSpPr>
        <xdr:cNvPr id="10" name="Line 23"/>
        <xdr:cNvSpPr>
          <a:spLocks noChangeShapeType="1"/>
        </xdr:cNvSpPr>
      </xdr:nvSpPr>
      <xdr:spPr bwMode="auto">
        <a:xfrm flipH="1">
          <a:off x="10698843" y="3581400"/>
          <a:ext cx="426356" cy="18143"/>
        </a:xfrm>
        <a:prstGeom prst="line">
          <a:avLst/>
        </a:prstGeom>
        <a:noFill/>
        <a:ln w="15875">
          <a:solidFill>
            <a:srgbClr val="FF6600"/>
          </a:solidFill>
          <a:round/>
          <a:headEnd/>
          <a:tailEnd type="triangle" w="med" len="med"/>
        </a:ln>
      </xdr:spPr>
    </xdr:sp>
    <xdr:clientData/>
  </xdr:twoCellAnchor>
  <xdr:twoCellAnchor>
    <xdr:from>
      <xdr:col>0</xdr:col>
      <xdr:colOff>107952</xdr:colOff>
      <xdr:row>20</xdr:row>
      <xdr:rowOff>28575</xdr:rowOff>
    </xdr:from>
    <xdr:to>
      <xdr:col>17</xdr:col>
      <xdr:colOff>117929</xdr:colOff>
      <xdr:row>22</xdr:row>
      <xdr:rowOff>54430</xdr:rowOff>
    </xdr:to>
    <xdr:sp macro="" textlink="">
      <xdr:nvSpPr>
        <xdr:cNvPr id="11" name="AutoShape 3"/>
        <xdr:cNvSpPr>
          <a:spLocks noChangeArrowheads="1"/>
        </xdr:cNvSpPr>
      </xdr:nvSpPr>
      <xdr:spPr bwMode="auto">
        <a:xfrm>
          <a:off x="107952" y="3787775"/>
          <a:ext cx="10563677" cy="508455"/>
        </a:xfrm>
        <a:prstGeom prst="roundRect">
          <a:avLst>
            <a:gd name="adj" fmla="val 16667"/>
          </a:avLst>
        </a:prstGeom>
        <a:noFill/>
        <a:ln w="15875" algn="ctr">
          <a:solidFill>
            <a:schemeClr val="accent6">
              <a:lumMod val="75000"/>
            </a:schemeClr>
          </a:solidFill>
          <a:round/>
          <a:headEnd/>
          <a:tailEnd/>
        </a:ln>
      </xdr:spPr>
    </xdr:sp>
    <xdr:clientData/>
  </xdr:twoCellAnchor>
  <xdr:oneCellAnchor>
    <xdr:from>
      <xdr:col>6</xdr:col>
      <xdr:colOff>172357</xdr:colOff>
      <xdr:row>6</xdr:row>
      <xdr:rowOff>75746</xdr:rowOff>
    </xdr:from>
    <xdr:ext cx="4971143" cy="476250"/>
    <xdr:sp macro="" textlink="">
      <xdr:nvSpPr>
        <xdr:cNvPr id="12" name="AutoShape 9"/>
        <xdr:cNvSpPr>
          <a:spLocks noChangeArrowheads="1"/>
        </xdr:cNvSpPr>
      </xdr:nvSpPr>
      <xdr:spPr bwMode="auto">
        <a:xfrm>
          <a:off x="3772807" y="685346"/>
          <a:ext cx="4971143" cy="476250"/>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square" lIns="18288" tIns="18288" rIns="0" bIns="0" anchor="t" upright="1">
          <a:noAutofit/>
        </a:bodyPr>
        <a:lstStyle/>
        <a:p>
          <a:pPr rtl="0"/>
          <a:r>
            <a:rPr lang="zh-CN" altLang="ja-JP" sz="1100" b="0" i="0" baseline="0">
              <a:effectLst/>
              <a:latin typeface="+mn-lt"/>
              <a:ea typeface="+mn-ea"/>
              <a:cs typeface="+mn-cs"/>
            </a:rPr>
            <a:t>上层：请按照客户填写</a:t>
          </a:r>
          <a:r>
            <a:rPr lang="zh-CN" altLang="en-US" sz="1100" b="0" i="0" baseline="0">
              <a:effectLst/>
              <a:latin typeface="+mn-lt"/>
              <a:ea typeface="+mn-ea"/>
              <a:cs typeface="+mn-cs"/>
            </a:rPr>
            <a:t>美蓓亚三美株式会社</a:t>
          </a:r>
          <a:r>
            <a:rPr lang="zh-CN" altLang="ja-JP" sz="1100" b="0" i="0" baseline="0">
              <a:effectLst/>
              <a:latin typeface="+mn-lt"/>
              <a:ea typeface="+mn-ea"/>
              <a:cs typeface="+mn-cs"/>
            </a:rPr>
            <a:t>或</a:t>
          </a:r>
          <a:r>
            <a:rPr lang="zh-CN" altLang="en-US" sz="1100" b="0" i="0" baseline="0">
              <a:effectLst/>
              <a:latin typeface="+mn-lt"/>
              <a:ea typeface="+mn-ea"/>
              <a:cs typeface="+mn-cs"/>
            </a:rPr>
            <a:t>三美电机株式会社</a:t>
          </a:r>
          <a:endParaRPr lang="en-US" altLang="zh-CN" sz="1100" b="0" i="0" baseline="0">
            <a:effectLst/>
            <a:latin typeface="+mn-lt"/>
            <a:ea typeface="+mn-ea"/>
            <a:cs typeface="+mn-cs"/>
          </a:endParaRPr>
        </a:p>
        <a:p>
          <a:pPr rtl="0"/>
          <a:r>
            <a:rPr lang="zh-CN" altLang="ja-JP" sz="1100" b="0" i="0" baseline="0">
              <a:effectLst/>
              <a:latin typeface="+mn-lt"/>
              <a:ea typeface="+mn-ea"/>
              <a:cs typeface="+mn-cs"/>
            </a:rPr>
            <a:t>下层：请填写</a:t>
          </a:r>
          <a:r>
            <a:rPr lang="zh-CN" altLang="en-US" sz="1100" b="0" i="0" baseline="0">
              <a:effectLst/>
              <a:latin typeface="+mn-lt"/>
              <a:ea typeface="+mn-ea"/>
              <a:cs typeface="+mn-cs"/>
            </a:rPr>
            <a:t>美蓓亚三美株式会社或三美电机株式会社</a:t>
          </a:r>
          <a:r>
            <a:rPr lang="zh-CN" altLang="ja-JP" sz="1100" b="0" i="0" baseline="0">
              <a:effectLst/>
              <a:latin typeface="+mn-lt"/>
              <a:ea typeface="+mn-ea"/>
              <a:cs typeface="+mn-cs"/>
            </a:rPr>
            <a:t>的事业本部、事业部</a:t>
          </a:r>
          <a:endParaRPr lang="ja-JP" altLang="ja-JP">
            <a:effectLst/>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0</xdr:col>
      <xdr:colOff>99785</xdr:colOff>
      <xdr:row>3</xdr:row>
      <xdr:rowOff>163286</xdr:rowOff>
    </xdr:from>
    <xdr:to>
      <xdr:col>11</xdr:col>
      <xdr:colOff>18143</xdr:colOff>
      <xdr:row>5</xdr:row>
      <xdr:rowOff>63500</xdr:rowOff>
    </xdr:to>
    <xdr:sp macro="" textlink="">
      <xdr:nvSpPr>
        <xdr:cNvPr id="13" name="AutoShape 3"/>
        <xdr:cNvSpPr>
          <a:spLocks noChangeArrowheads="1"/>
        </xdr:cNvSpPr>
      </xdr:nvSpPr>
      <xdr:spPr bwMode="auto">
        <a:xfrm>
          <a:off x="99785" y="245836"/>
          <a:ext cx="6204858" cy="332014"/>
        </a:xfrm>
        <a:prstGeom prst="roundRect">
          <a:avLst>
            <a:gd name="adj" fmla="val 16667"/>
          </a:avLst>
        </a:prstGeom>
        <a:noFill/>
        <a:ln w="15875" algn="ctr">
          <a:solidFill>
            <a:srgbClr val="FF6600"/>
          </a:solidFill>
          <a:round/>
          <a:headEnd/>
          <a:tailEnd/>
        </a:ln>
      </xdr:spPr>
    </xdr:sp>
    <xdr:clientData/>
  </xdr:twoCellAnchor>
  <xdr:twoCellAnchor>
    <xdr:from>
      <xdr:col>11</xdr:col>
      <xdr:colOff>45358</xdr:colOff>
      <xdr:row>4</xdr:row>
      <xdr:rowOff>86633</xdr:rowOff>
    </xdr:from>
    <xdr:to>
      <xdr:col>13</xdr:col>
      <xdr:colOff>160564</xdr:colOff>
      <xdr:row>4</xdr:row>
      <xdr:rowOff>99788</xdr:rowOff>
    </xdr:to>
    <xdr:sp macro="" textlink="">
      <xdr:nvSpPr>
        <xdr:cNvPr id="14" name="Line 23"/>
        <xdr:cNvSpPr>
          <a:spLocks noChangeShapeType="1"/>
        </xdr:cNvSpPr>
      </xdr:nvSpPr>
      <xdr:spPr bwMode="auto">
        <a:xfrm flipH="1">
          <a:off x="6331858" y="385083"/>
          <a:ext cx="1004206" cy="13155"/>
        </a:xfrm>
        <a:prstGeom prst="line">
          <a:avLst/>
        </a:prstGeom>
        <a:noFill/>
        <a:ln w="15875">
          <a:solidFill>
            <a:srgbClr val="FF6600"/>
          </a:solidFill>
          <a:round/>
          <a:headEnd/>
          <a:tailEnd type="triangle" w="med" len="med"/>
        </a:ln>
      </xdr:spPr>
    </xdr:sp>
    <xdr:clientData/>
  </xdr:twoCellAnchor>
  <xdr:oneCellAnchor>
    <xdr:from>
      <xdr:col>13</xdr:col>
      <xdr:colOff>167369</xdr:colOff>
      <xdr:row>3</xdr:row>
      <xdr:rowOff>172360</xdr:rowOff>
    </xdr:from>
    <xdr:ext cx="1546224" cy="362854"/>
    <xdr:sp macro="" textlink="">
      <xdr:nvSpPr>
        <xdr:cNvPr id="15" name="AutoShape 9"/>
        <xdr:cNvSpPr>
          <a:spLocks noChangeArrowheads="1"/>
        </xdr:cNvSpPr>
      </xdr:nvSpPr>
      <xdr:spPr bwMode="auto">
        <a:xfrm>
          <a:off x="7342869" y="254910"/>
          <a:ext cx="1546224" cy="362854"/>
        </a:xfrm>
        <a:prstGeom prst="roundRect">
          <a:avLst>
            <a:gd name="adj" fmla="val 16667"/>
          </a:avLst>
        </a:prstGeom>
        <a:solidFill>
          <a:schemeClr val="accent5">
            <a:lumMod val="40000"/>
            <a:lumOff val="60000"/>
          </a:schemeClr>
        </a:solidFill>
        <a:ln w="15875" algn="ctr">
          <a:solidFill>
            <a:srgbClr val="FF6600"/>
          </a:solidFill>
          <a:round/>
          <a:headEnd/>
          <a:tailEnd/>
        </a:ln>
        <a:effectLst/>
      </xdr:spPr>
      <xdr:txBody>
        <a:bodyPr wrap="square" lIns="18288" tIns="18288" rIns="0" bIns="0" anchor="t" upright="1">
          <a:noAutofit/>
        </a:bodyPr>
        <a:lstStyle/>
        <a:p>
          <a:pPr rtl="0"/>
          <a:r>
            <a:rPr lang="ja-JP" altLang="ja-JP" sz="1100" b="0" i="0" baseline="0">
              <a:effectLst/>
              <a:latin typeface="+mn-lt"/>
              <a:ea typeface="+mn-ea"/>
              <a:cs typeface="+mn-cs"/>
            </a:rPr>
            <a:t>请选择一种语言</a:t>
          </a:r>
          <a:endParaRPr lang="ja-JP" altLang="ja-JP">
            <a:effectLst/>
          </a:endParaRPr>
        </a:p>
      </xdr:txBody>
    </xdr:sp>
    <xdr:clientData/>
  </xdr:oneCellAnchor>
  <xdr:twoCellAnchor>
    <xdr:from>
      <xdr:col>0</xdr:col>
      <xdr:colOff>27212</xdr:colOff>
      <xdr:row>12</xdr:row>
      <xdr:rowOff>154213</xdr:rowOff>
    </xdr:from>
    <xdr:to>
      <xdr:col>17</xdr:col>
      <xdr:colOff>163284</xdr:colOff>
      <xdr:row>17</xdr:row>
      <xdr:rowOff>76198</xdr:rowOff>
    </xdr:to>
    <xdr:sp macro="" textlink="">
      <xdr:nvSpPr>
        <xdr:cNvPr id="16" name="AutoShape 3"/>
        <xdr:cNvSpPr>
          <a:spLocks noChangeArrowheads="1"/>
        </xdr:cNvSpPr>
      </xdr:nvSpPr>
      <xdr:spPr bwMode="auto">
        <a:xfrm>
          <a:off x="27212" y="2205263"/>
          <a:ext cx="10689772" cy="1077685"/>
        </a:xfrm>
        <a:prstGeom prst="roundRect">
          <a:avLst>
            <a:gd name="adj" fmla="val 16667"/>
          </a:avLst>
        </a:prstGeom>
        <a:noFill/>
        <a:ln w="15875" algn="ctr">
          <a:solidFill>
            <a:srgbClr val="FF6600"/>
          </a:solidFill>
          <a:round/>
          <a:headEnd/>
          <a:tailEnd/>
        </a:ln>
      </xdr:spPr>
    </xdr:sp>
    <xdr:clientData/>
  </xdr:twoCellAnchor>
  <xdr:twoCellAnchor>
    <xdr:from>
      <xdr:col>17</xdr:col>
      <xdr:colOff>63498</xdr:colOff>
      <xdr:row>16</xdr:row>
      <xdr:rowOff>108857</xdr:rowOff>
    </xdr:from>
    <xdr:to>
      <xdr:col>17</xdr:col>
      <xdr:colOff>571499</xdr:colOff>
      <xdr:row>16</xdr:row>
      <xdr:rowOff>118683</xdr:rowOff>
    </xdr:to>
    <xdr:sp macro="" textlink="">
      <xdr:nvSpPr>
        <xdr:cNvPr id="17" name="Line 23"/>
        <xdr:cNvSpPr>
          <a:spLocks noChangeShapeType="1"/>
        </xdr:cNvSpPr>
      </xdr:nvSpPr>
      <xdr:spPr bwMode="auto">
        <a:xfrm flipH="1">
          <a:off x="10617198" y="3074307"/>
          <a:ext cx="508001" cy="9826"/>
        </a:xfrm>
        <a:prstGeom prst="line">
          <a:avLst/>
        </a:prstGeom>
        <a:noFill/>
        <a:ln w="15875">
          <a:solidFill>
            <a:schemeClr val="accent6">
              <a:lumMod val="75000"/>
            </a:schemeClr>
          </a:solidFill>
          <a:round/>
          <a:headEnd/>
          <a:tailEnd type="triangle" w="med" len="med"/>
        </a:ln>
      </xdr:spPr>
    </xdr:sp>
    <xdr:clientData/>
  </xdr:twoCellAnchor>
  <xdr:twoCellAnchor>
    <xdr:from>
      <xdr:col>17</xdr:col>
      <xdr:colOff>117928</xdr:colOff>
      <xdr:row>21</xdr:row>
      <xdr:rowOff>126999</xdr:rowOff>
    </xdr:from>
    <xdr:to>
      <xdr:col>17</xdr:col>
      <xdr:colOff>571498</xdr:colOff>
      <xdr:row>21</xdr:row>
      <xdr:rowOff>127000</xdr:rowOff>
    </xdr:to>
    <xdr:sp macro="" textlink="">
      <xdr:nvSpPr>
        <xdr:cNvPr id="18" name="Line 23"/>
        <xdr:cNvSpPr>
          <a:spLocks noChangeShapeType="1"/>
        </xdr:cNvSpPr>
      </xdr:nvSpPr>
      <xdr:spPr bwMode="auto">
        <a:xfrm flipH="1">
          <a:off x="10671628" y="4127499"/>
          <a:ext cx="453570" cy="1"/>
        </a:xfrm>
        <a:prstGeom prst="line">
          <a:avLst/>
        </a:prstGeom>
        <a:noFill/>
        <a:ln w="15875">
          <a:solidFill>
            <a:schemeClr val="accent6">
              <a:lumMod val="75000"/>
            </a:schemeClr>
          </a:solidFill>
          <a:round/>
          <a:headEnd/>
          <a:tailEnd type="triangle" w="med" len="med"/>
        </a:ln>
      </xdr:spPr>
    </xdr:sp>
    <xdr:clientData/>
  </xdr:twoCellAnchor>
  <xdr:twoCellAnchor>
    <xdr:from>
      <xdr:col>13</xdr:col>
      <xdr:colOff>1515835</xdr:colOff>
      <xdr:row>9</xdr:row>
      <xdr:rowOff>18143</xdr:rowOff>
    </xdr:from>
    <xdr:to>
      <xdr:col>17</xdr:col>
      <xdr:colOff>54428</xdr:colOff>
      <xdr:row>11</xdr:row>
      <xdr:rowOff>9072</xdr:rowOff>
    </xdr:to>
    <xdr:sp macro="" textlink="">
      <xdr:nvSpPr>
        <xdr:cNvPr id="19" name="AutoShape 3"/>
        <xdr:cNvSpPr>
          <a:spLocks noChangeArrowheads="1"/>
        </xdr:cNvSpPr>
      </xdr:nvSpPr>
      <xdr:spPr bwMode="auto">
        <a:xfrm>
          <a:off x="8691335" y="1459593"/>
          <a:ext cx="1916793" cy="473529"/>
        </a:xfrm>
        <a:prstGeom prst="roundRect">
          <a:avLst>
            <a:gd name="adj" fmla="val 16667"/>
          </a:avLst>
        </a:prstGeom>
        <a:noFill/>
        <a:ln w="15875" algn="ctr">
          <a:solidFill>
            <a:srgbClr val="FF6600"/>
          </a:solidFill>
          <a:round/>
          <a:headEnd/>
          <a:tailEnd/>
        </a:ln>
      </xdr:spPr>
    </xdr:sp>
    <xdr:clientData/>
  </xdr:twoCellAnchor>
  <xdr:oneCellAnchor>
    <xdr:from>
      <xdr:col>17</xdr:col>
      <xdr:colOff>557252</xdr:colOff>
      <xdr:row>8</xdr:row>
      <xdr:rowOff>238437</xdr:rowOff>
    </xdr:from>
    <xdr:ext cx="1384034" cy="296777"/>
    <xdr:sp macro="" textlink="">
      <xdr:nvSpPr>
        <xdr:cNvPr id="20" name="AutoShape 24"/>
        <xdr:cNvSpPr>
          <a:spLocks noChangeArrowheads="1"/>
        </xdr:cNvSpPr>
      </xdr:nvSpPr>
      <xdr:spPr bwMode="auto">
        <a:xfrm>
          <a:off x="11143609" y="1871294"/>
          <a:ext cx="1384034" cy="296777"/>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zh-CN" altLang="ja-JP" sz="1100" b="0" i="0" baseline="0">
              <a:effectLst/>
              <a:latin typeface="+mn-lt"/>
              <a:ea typeface="+mn-ea"/>
              <a:cs typeface="+mn-cs"/>
            </a:rPr>
            <a:t>请填写清楚明白</a:t>
          </a:r>
          <a:endParaRPr lang="ja-JP" altLang="ja-JP">
            <a:effectLst/>
          </a:endParaRPr>
        </a:p>
      </xdr:txBody>
    </xdr:sp>
    <xdr:clientData/>
  </xdr:oneCellAnchor>
  <xdr:twoCellAnchor>
    <xdr:from>
      <xdr:col>17</xdr:col>
      <xdr:colOff>52615</xdr:colOff>
      <xdr:row>9</xdr:row>
      <xdr:rowOff>168728</xdr:rowOff>
    </xdr:from>
    <xdr:to>
      <xdr:col>17</xdr:col>
      <xdr:colOff>547915</xdr:colOff>
      <xdr:row>10</xdr:row>
      <xdr:rowOff>19048</xdr:rowOff>
    </xdr:to>
    <xdr:sp macro="" textlink="">
      <xdr:nvSpPr>
        <xdr:cNvPr id="21" name="Line 23"/>
        <xdr:cNvSpPr>
          <a:spLocks noChangeShapeType="1"/>
        </xdr:cNvSpPr>
      </xdr:nvSpPr>
      <xdr:spPr bwMode="auto">
        <a:xfrm flipH="1">
          <a:off x="10606315" y="1610178"/>
          <a:ext cx="495300" cy="91620"/>
        </a:xfrm>
        <a:prstGeom prst="line">
          <a:avLst/>
        </a:prstGeom>
        <a:noFill/>
        <a:ln w="15875">
          <a:solidFill>
            <a:srgbClr val="FF6600"/>
          </a:solidFill>
          <a:round/>
          <a:headEnd/>
          <a:tailEnd type="triangle" w="med" len="med"/>
        </a:ln>
      </xdr:spPr>
    </xdr:sp>
    <xdr:clientData/>
  </xdr:twoCellAnchor>
  <xdr:oneCellAnchor>
    <xdr:from>
      <xdr:col>17</xdr:col>
      <xdr:colOff>501198</xdr:colOff>
      <xdr:row>6</xdr:row>
      <xdr:rowOff>263070</xdr:rowOff>
    </xdr:from>
    <xdr:ext cx="2102302" cy="435429"/>
    <xdr:sp macro="" textlink="">
      <xdr:nvSpPr>
        <xdr:cNvPr id="22" name="AutoShape 24"/>
        <xdr:cNvSpPr>
          <a:spLocks noChangeArrowheads="1"/>
        </xdr:cNvSpPr>
      </xdr:nvSpPr>
      <xdr:spPr bwMode="auto">
        <a:xfrm>
          <a:off x="11087555" y="1297213"/>
          <a:ext cx="2102302" cy="435429"/>
        </a:xfrm>
        <a:prstGeom prst="roundRect">
          <a:avLst>
            <a:gd name="adj" fmla="val 16667"/>
          </a:avLst>
        </a:prstGeom>
        <a:solidFill>
          <a:schemeClr val="accent3">
            <a:lumMod val="60000"/>
            <a:lumOff val="40000"/>
          </a:schemeClr>
        </a:solidFill>
        <a:ln w="15875" algn="ctr">
          <a:solidFill>
            <a:srgbClr val="FF0000"/>
          </a:solidFill>
          <a:round/>
          <a:headEnd/>
          <a:tailEnd/>
        </a:ln>
        <a:effectLst/>
      </xdr:spPr>
      <xdr:txBody>
        <a:bodyPr wrap="none" lIns="18288" tIns="18288" rIns="0" bIns="0" anchor="t" upright="1">
          <a:noAutofit/>
        </a:bodyPr>
        <a:lstStyle/>
        <a:p>
          <a:pPr rtl="0"/>
          <a:r>
            <a:rPr lang="zh-CN" altLang="ja-JP" sz="1100">
              <a:effectLst/>
              <a:latin typeface="+mn-lt"/>
              <a:ea typeface="+mn-ea"/>
              <a:cs typeface="+mn-cs"/>
            </a:rPr>
            <a:t>根据</a:t>
          </a:r>
          <a:r>
            <a:rPr lang="zh-CN" altLang="en-US" sz="1100">
              <a:effectLst/>
              <a:latin typeface="+mn-lt"/>
              <a:ea typeface="+mn-ea"/>
              <a:cs typeface="+mn-cs"/>
            </a:rPr>
            <a:t>美蓓亚三美株式会社或</a:t>
          </a:r>
          <a:endParaRPr lang="en-US" altLang="zh-CN" sz="1100">
            <a:effectLst/>
            <a:latin typeface="+mn-lt"/>
            <a:ea typeface="+mn-ea"/>
            <a:cs typeface="+mn-cs"/>
          </a:endParaRPr>
        </a:p>
        <a:p>
          <a:pPr rtl="0"/>
          <a:r>
            <a:rPr lang="zh-CN" altLang="en-US" sz="1100">
              <a:effectLst/>
              <a:latin typeface="+mn-lt"/>
              <a:ea typeface="+mn-ea"/>
              <a:cs typeface="+mn-cs"/>
            </a:rPr>
            <a:t>三美电机株式会社</a:t>
          </a:r>
          <a:r>
            <a:rPr lang="zh-CN" altLang="ja-JP" sz="1100">
              <a:effectLst/>
              <a:latin typeface="+mn-lt"/>
              <a:ea typeface="+mn-ea"/>
              <a:cs typeface="+mn-cs"/>
            </a:rPr>
            <a:t>需要填写</a:t>
          </a:r>
          <a:endParaRPr lang="ja-JP" altLang="ja-JP">
            <a:effectLst/>
          </a:endParaRPr>
        </a:p>
        <a:p>
          <a:pPr rtl="0"/>
          <a:endParaRPr lang="ja-JP" altLang="ja-JP">
            <a:effectLst/>
          </a:endParaRPr>
        </a:p>
      </xdr:txBody>
    </xdr:sp>
    <xdr:clientData/>
  </xdr:oneCellAnchor>
  <xdr:twoCellAnchor>
    <xdr:from>
      <xdr:col>17</xdr:col>
      <xdr:colOff>43996</xdr:colOff>
      <xdr:row>7</xdr:row>
      <xdr:rowOff>166461</xdr:rowOff>
    </xdr:from>
    <xdr:to>
      <xdr:col>17</xdr:col>
      <xdr:colOff>482147</xdr:colOff>
      <xdr:row>8</xdr:row>
      <xdr:rowOff>73932</xdr:rowOff>
    </xdr:to>
    <xdr:sp macro="" textlink="">
      <xdr:nvSpPr>
        <xdr:cNvPr id="23" name="Line 23"/>
        <xdr:cNvSpPr>
          <a:spLocks noChangeShapeType="1"/>
        </xdr:cNvSpPr>
      </xdr:nvSpPr>
      <xdr:spPr bwMode="auto">
        <a:xfrm flipH="1">
          <a:off x="10597696" y="1125311"/>
          <a:ext cx="438151" cy="148771"/>
        </a:xfrm>
        <a:prstGeom prst="line">
          <a:avLst/>
        </a:prstGeom>
        <a:noFill/>
        <a:ln w="15875">
          <a:solidFill>
            <a:srgbClr val="FF0000"/>
          </a:solidFill>
          <a:round/>
          <a:headEnd/>
          <a:tailEnd type="triangle" w="med" len="med"/>
        </a:ln>
      </xdr:spPr>
    </xdr:sp>
    <xdr:clientData/>
  </xdr:twoCellAnchor>
  <xdr:twoCellAnchor>
    <xdr:from>
      <xdr:col>13</xdr:col>
      <xdr:colOff>1496785</xdr:colOff>
      <xdr:row>7</xdr:row>
      <xdr:rowOff>0</xdr:rowOff>
    </xdr:from>
    <xdr:to>
      <xdr:col>17</xdr:col>
      <xdr:colOff>15422</xdr:colOff>
      <xdr:row>8</xdr:row>
      <xdr:rowOff>197755</xdr:rowOff>
    </xdr:to>
    <xdr:sp macro="" textlink="">
      <xdr:nvSpPr>
        <xdr:cNvPr id="24" name="AutoShape 3"/>
        <xdr:cNvSpPr>
          <a:spLocks noChangeArrowheads="1"/>
        </xdr:cNvSpPr>
      </xdr:nvSpPr>
      <xdr:spPr bwMode="auto">
        <a:xfrm>
          <a:off x="8672285" y="958850"/>
          <a:ext cx="1896837" cy="439055"/>
        </a:xfrm>
        <a:prstGeom prst="roundRect">
          <a:avLst>
            <a:gd name="adj" fmla="val 16667"/>
          </a:avLst>
        </a:prstGeom>
        <a:solidFill>
          <a:schemeClr val="accent3">
            <a:lumMod val="60000"/>
            <a:lumOff val="40000"/>
            <a:alpha val="40000"/>
          </a:schemeClr>
        </a:solidFill>
        <a:ln w="15875" algn="ctr">
          <a:solidFill>
            <a:srgbClr val="FF0000"/>
          </a:solidFill>
          <a:round/>
          <a:headEnd/>
          <a:tailEnd/>
        </a:ln>
      </xdr:spPr>
    </xdr:sp>
    <xdr:clientData/>
  </xdr:twoCellAnchor>
  <xdr:twoCellAnchor>
    <xdr:from>
      <xdr:col>4</xdr:col>
      <xdr:colOff>564444</xdr:colOff>
      <xdr:row>23</xdr:row>
      <xdr:rowOff>190499</xdr:rowOff>
    </xdr:from>
    <xdr:to>
      <xdr:col>7</xdr:col>
      <xdr:colOff>684387</xdr:colOff>
      <xdr:row>24</xdr:row>
      <xdr:rowOff>56443</xdr:rowOff>
    </xdr:to>
    <xdr:sp macro="" textlink="">
      <xdr:nvSpPr>
        <xdr:cNvPr id="25" name="Line 23"/>
        <xdr:cNvSpPr>
          <a:spLocks noChangeShapeType="1"/>
        </xdr:cNvSpPr>
      </xdr:nvSpPr>
      <xdr:spPr bwMode="auto">
        <a:xfrm flipH="1" flipV="1">
          <a:off x="3498144" y="4673599"/>
          <a:ext cx="1389943" cy="107244"/>
        </a:xfrm>
        <a:prstGeom prst="line">
          <a:avLst/>
        </a:prstGeom>
        <a:noFill/>
        <a:ln w="15875">
          <a:solidFill>
            <a:schemeClr val="accent6">
              <a:lumMod val="75000"/>
            </a:schemeClr>
          </a:solidFill>
          <a:round/>
          <a:headEnd/>
          <a:tailEnd type="triangle" w="med" len="med"/>
        </a:ln>
      </xdr:spPr>
    </xdr:sp>
    <xdr:clientData/>
  </xdr:twoCellAnchor>
  <xdr:oneCellAnchor>
    <xdr:from>
      <xdr:col>7</xdr:col>
      <xdr:colOff>684390</xdr:colOff>
      <xdr:row>22</xdr:row>
      <xdr:rowOff>225778</xdr:rowOff>
    </xdr:from>
    <xdr:ext cx="8269110" cy="402166"/>
    <xdr:sp macro="" textlink="">
      <xdr:nvSpPr>
        <xdr:cNvPr id="26" name="AutoShape 24"/>
        <xdr:cNvSpPr>
          <a:spLocks noChangeArrowheads="1"/>
        </xdr:cNvSpPr>
      </xdr:nvSpPr>
      <xdr:spPr bwMode="auto">
        <a:xfrm>
          <a:off x="4888090" y="4467578"/>
          <a:ext cx="8269110" cy="402166"/>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ctr" upright="1">
          <a:noAutofit/>
        </a:bodyPr>
        <a:lstStyle/>
        <a:p>
          <a:pPr rtl="0"/>
          <a:r>
            <a:rPr lang="ja-JP" altLang="en-US">
              <a:effectLst/>
            </a:rPr>
            <a:t>重量（</a:t>
          </a:r>
          <a:r>
            <a:rPr lang="en-US" altLang="ja-JP">
              <a:effectLst/>
            </a:rPr>
            <a:t>g</a:t>
          </a:r>
          <a:r>
            <a:rPr lang="zh-CN" altLang="en-US">
              <a:effectLst/>
            </a:rPr>
            <a:t>或</a:t>
          </a:r>
          <a:r>
            <a:rPr lang="en-US" altLang="ja-JP">
              <a:effectLst/>
            </a:rPr>
            <a:t>mg</a:t>
          </a:r>
          <a:r>
            <a:rPr lang="ja-JP" altLang="en-US">
              <a:effectLst/>
            </a:rPr>
            <a:t>）数量（</a:t>
          </a:r>
          <a:r>
            <a:rPr lang="en-US" altLang="ja-JP">
              <a:effectLst/>
            </a:rPr>
            <a:t>pcs</a:t>
          </a:r>
          <a:r>
            <a:rPr lang="ja-JP" altLang="en-US">
              <a:effectLst/>
            </a:rPr>
            <a:t>、</a:t>
          </a:r>
          <a:r>
            <a:rPr lang="en-US" altLang="ja-JP">
              <a:effectLst/>
            </a:rPr>
            <a:t>m</a:t>
          </a:r>
          <a:r>
            <a:rPr lang="zh-CN" altLang="en-US">
              <a:effectLst/>
            </a:rPr>
            <a:t>或</a:t>
          </a:r>
          <a:r>
            <a:rPr lang="en-US" altLang="ja-JP">
              <a:effectLst/>
            </a:rPr>
            <a:t>m2</a:t>
          </a:r>
          <a:r>
            <a:rPr lang="zh-CN" altLang="en-US">
              <a:effectLst/>
            </a:rPr>
            <a:t>）的单位请从下拉列表选择</a:t>
          </a:r>
          <a:r>
            <a:rPr lang="ja-JP" altLang="en-US">
              <a:effectLst/>
            </a:rPr>
            <a:t>。</a:t>
          </a:r>
          <a:r>
            <a:rPr lang="zh-CN" altLang="en-US">
              <a:effectLst/>
            </a:rPr>
            <a:t>选择后列表的项目单位会自动变更</a:t>
          </a:r>
          <a:r>
            <a:rPr lang="ja-JP" altLang="en-US">
              <a:effectLst/>
            </a:rPr>
            <a:t>。</a:t>
          </a:r>
          <a:endParaRPr lang="ja-JP" altLang="ja-JP">
            <a:effectLst/>
          </a:endParaRPr>
        </a:p>
      </xdr:txBody>
    </xdr:sp>
    <xdr:clientData/>
  </xdr:oneCellAnchor>
  <xdr:twoCellAnchor>
    <xdr:from>
      <xdr:col>6</xdr:col>
      <xdr:colOff>388055</xdr:colOff>
      <xdr:row>23</xdr:row>
      <xdr:rowOff>0</xdr:rowOff>
    </xdr:from>
    <xdr:to>
      <xdr:col>7</xdr:col>
      <xdr:colOff>719665</xdr:colOff>
      <xdr:row>23</xdr:row>
      <xdr:rowOff>84666</xdr:rowOff>
    </xdr:to>
    <xdr:sp macro="" textlink="">
      <xdr:nvSpPr>
        <xdr:cNvPr id="27" name="Line 23"/>
        <xdr:cNvSpPr>
          <a:spLocks noChangeShapeType="1"/>
        </xdr:cNvSpPr>
      </xdr:nvSpPr>
      <xdr:spPr bwMode="auto">
        <a:xfrm flipH="1">
          <a:off x="3988505" y="4483100"/>
          <a:ext cx="934860" cy="84666"/>
        </a:xfrm>
        <a:prstGeom prst="line">
          <a:avLst/>
        </a:prstGeom>
        <a:noFill/>
        <a:ln w="15875">
          <a:solidFill>
            <a:schemeClr val="accent6">
              <a:lumMod val="75000"/>
            </a:schemeClr>
          </a:solidFill>
          <a:round/>
          <a:headEnd/>
          <a:tailEnd type="triangle" w="med" len="med"/>
        </a:ln>
      </xdr:spPr>
    </xdr:sp>
    <xdr:clientData/>
  </xdr:twoCellAnchor>
  <xdr:twoCellAnchor>
    <xdr:from>
      <xdr:col>0</xdr:col>
      <xdr:colOff>190500</xdr:colOff>
      <xdr:row>79</xdr:row>
      <xdr:rowOff>14111</xdr:rowOff>
    </xdr:from>
    <xdr:to>
      <xdr:col>12</xdr:col>
      <xdr:colOff>7055</xdr:colOff>
      <xdr:row>84</xdr:row>
      <xdr:rowOff>14111</xdr:rowOff>
    </xdr:to>
    <xdr:sp macro="" textlink="">
      <xdr:nvSpPr>
        <xdr:cNvPr id="28" name="AutoShape 3"/>
        <xdr:cNvSpPr>
          <a:spLocks noChangeArrowheads="1"/>
        </xdr:cNvSpPr>
      </xdr:nvSpPr>
      <xdr:spPr bwMode="auto">
        <a:xfrm>
          <a:off x="190500" y="4992511"/>
          <a:ext cx="6388805" cy="1187450"/>
        </a:xfrm>
        <a:prstGeom prst="roundRect">
          <a:avLst>
            <a:gd name="adj" fmla="val 16667"/>
          </a:avLst>
        </a:prstGeom>
        <a:noFill/>
        <a:ln w="15875" algn="ctr">
          <a:solidFill>
            <a:srgbClr val="FF6600"/>
          </a:solidFill>
          <a:round/>
          <a:headEnd/>
          <a:tailEnd/>
        </a:ln>
      </xdr:spPr>
    </xdr:sp>
    <xdr:clientData/>
  </xdr:twoCellAnchor>
  <xdr:oneCellAnchor>
    <xdr:from>
      <xdr:col>17</xdr:col>
      <xdr:colOff>760185</xdr:colOff>
      <xdr:row>93</xdr:row>
      <xdr:rowOff>14112</xdr:rowOff>
    </xdr:from>
    <xdr:ext cx="3219147" cy="649110"/>
    <xdr:sp macro="" textlink="">
      <xdr:nvSpPr>
        <xdr:cNvPr id="29" name="AutoShape 24"/>
        <xdr:cNvSpPr>
          <a:spLocks noChangeArrowheads="1"/>
        </xdr:cNvSpPr>
      </xdr:nvSpPr>
      <xdr:spPr bwMode="auto">
        <a:xfrm>
          <a:off x="11313885" y="8065912"/>
          <a:ext cx="3219147" cy="649110"/>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ja-JP" sz="1100" b="0" i="0" baseline="0">
              <a:effectLst/>
              <a:latin typeface="+mn-lt"/>
              <a:ea typeface="+mn-ea"/>
              <a:cs typeface="+mn-cs"/>
            </a:rPr>
            <a:t>・</a:t>
          </a:r>
          <a:r>
            <a:rPr lang="zh-CN" altLang="en-US" sz="1100" b="0" i="0" baseline="0">
              <a:effectLst/>
              <a:latin typeface="+mn-lt"/>
              <a:ea typeface="+mn-ea"/>
              <a:cs typeface="+mn-cs"/>
            </a:rPr>
            <a:t>使用目的</a:t>
          </a:r>
          <a:r>
            <a:rPr lang="ja-JP" altLang="en-US" sz="1100" b="0" i="0" baseline="0">
              <a:effectLst/>
              <a:latin typeface="+mn-lt"/>
              <a:ea typeface="+mn-ea"/>
              <a:cs typeface="+mn-cs"/>
            </a:rPr>
            <a:t>・</a:t>
          </a:r>
          <a:r>
            <a:rPr lang="zh-CN" altLang="en-US" sz="1100" b="0" i="0" baseline="0">
              <a:effectLst/>
              <a:latin typeface="+mn-lt"/>
              <a:ea typeface="+mn-ea"/>
              <a:cs typeface="+mn-cs"/>
            </a:rPr>
            <a:t>用途也可以从下拉列表选择，</a:t>
          </a:r>
          <a:endParaRPr lang="en-US" altLang="ja-JP" sz="1100" b="0" i="0" baseline="0">
            <a:effectLst/>
            <a:latin typeface="+mn-lt"/>
            <a:ea typeface="+mn-ea"/>
            <a:cs typeface="+mn-cs"/>
          </a:endParaRPr>
        </a:p>
        <a:p>
          <a:pPr rtl="0"/>
          <a:r>
            <a:rPr lang="en-US" altLang="ja-JP" sz="1100" b="0" i="0" baseline="0">
              <a:effectLst/>
              <a:latin typeface="+mn-lt"/>
              <a:ea typeface="+mn-ea"/>
              <a:cs typeface="+mn-cs"/>
            </a:rPr>
            <a:t>  </a:t>
          </a:r>
          <a:r>
            <a:rPr lang="zh-CN" altLang="en-US" sz="1100" b="0" i="0" baseline="0">
              <a:effectLst/>
              <a:latin typeface="+mn-lt"/>
              <a:ea typeface="+mn-ea"/>
              <a:cs typeface="+mn-cs"/>
            </a:rPr>
            <a:t>也可以正常输入</a:t>
          </a:r>
          <a:r>
            <a:rPr lang="ja-JP" altLang="ja-JP" sz="1100" b="0" i="0" baseline="0">
              <a:effectLst/>
              <a:latin typeface="+mn-lt"/>
              <a:ea typeface="+mn-ea"/>
              <a:cs typeface="+mn-cs"/>
            </a:rPr>
            <a:t>。</a:t>
          </a:r>
          <a:r>
            <a:rPr lang="zh-CN" altLang="en-US" sz="1100" b="0" i="0" baseline="0">
              <a:effectLst/>
              <a:latin typeface="+mn-lt"/>
              <a:ea typeface="+mn-ea"/>
              <a:cs typeface="+mn-cs"/>
            </a:rPr>
            <a:t>请任意选择</a:t>
          </a:r>
          <a:r>
            <a:rPr lang="ja-JP" altLang="ja-JP" sz="1100" b="0" i="0" baseline="0">
              <a:effectLst/>
              <a:latin typeface="+mn-lt"/>
              <a:ea typeface="+mn-ea"/>
              <a:cs typeface="+mn-cs"/>
            </a:rPr>
            <a:t>。</a:t>
          </a:r>
          <a:endParaRPr lang="en-US" altLang="ja-JP" sz="1100" b="0" i="0" baseline="0">
            <a:effectLst/>
            <a:latin typeface="+mn-lt"/>
            <a:ea typeface="+mn-ea"/>
            <a:cs typeface="+mn-cs"/>
          </a:endParaRPr>
        </a:p>
      </xdr:txBody>
    </xdr:sp>
    <xdr:clientData/>
  </xdr:oneCellAnchor>
  <xdr:twoCellAnchor>
    <xdr:from>
      <xdr:col>3</xdr:col>
      <xdr:colOff>613835</xdr:colOff>
      <xdr:row>83</xdr:row>
      <xdr:rowOff>206626</xdr:rowOff>
    </xdr:from>
    <xdr:to>
      <xdr:col>3</xdr:col>
      <xdr:colOff>853723</xdr:colOff>
      <xdr:row>89</xdr:row>
      <xdr:rowOff>68538</xdr:rowOff>
    </xdr:to>
    <xdr:sp macro="" textlink="">
      <xdr:nvSpPr>
        <xdr:cNvPr id="30" name="Line 23"/>
        <xdr:cNvSpPr>
          <a:spLocks noChangeShapeType="1"/>
        </xdr:cNvSpPr>
      </xdr:nvSpPr>
      <xdr:spPr bwMode="auto">
        <a:xfrm flipV="1">
          <a:off x="2527906" y="6638269"/>
          <a:ext cx="239888" cy="1113769"/>
        </a:xfrm>
        <a:prstGeom prst="line">
          <a:avLst/>
        </a:prstGeom>
        <a:noFill/>
        <a:ln w="15875">
          <a:solidFill>
            <a:schemeClr val="accent6">
              <a:lumMod val="75000"/>
            </a:schemeClr>
          </a:solidFill>
          <a:round/>
          <a:headEnd/>
          <a:tailEnd type="triangle" w="med" len="med"/>
        </a:ln>
      </xdr:spPr>
    </xdr:sp>
    <xdr:clientData/>
  </xdr:twoCellAnchor>
  <xdr:twoCellAnchor>
    <xdr:from>
      <xdr:col>13</xdr:col>
      <xdr:colOff>7057</xdr:colOff>
      <xdr:row>78</xdr:row>
      <xdr:rowOff>119944</xdr:rowOff>
    </xdr:from>
    <xdr:to>
      <xdr:col>16</xdr:col>
      <xdr:colOff>42334</xdr:colOff>
      <xdr:row>84</xdr:row>
      <xdr:rowOff>0</xdr:rowOff>
    </xdr:to>
    <xdr:sp macro="" textlink="">
      <xdr:nvSpPr>
        <xdr:cNvPr id="31" name="AutoShape 3"/>
        <xdr:cNvSpPr>
          <a:spLocks noChangeArrowheads="1"/>
        </xdr:cNvSpPr>
      </xdr:nvSpPr>
      <xdr:spPr bwMode="auto">
        <a:xfrm>
          <a:off x="7182557" y="4971344"/>
          <a:ext cx="2810227" cy="1194506"/>
        </a:xfrm>
        <a:prstGeom prst="roundRect">
          <a:avLst>
            <a:gd name="adj" fmla="val 16667"/>
          </a:avLst>
        </a:prstGeom>
        <a:noFill/>
        <a:ln w="15875" algn="ctr">
          <a:solidFill>
            <a:srgbClr val="FF6600"/>
          </a:solidFill>
          <a:round/>
          <a:headEnd/>
          <a:tailEnd/>
        </a:ln>
      </xdr:spPr>
    </xdr:sp>
    <xdr:clientData/>
  </xdr:twoCellAnchor>
  <xdr:twoCellAnchor>
    <xdr:from>
      <xdr:col>13</xdr:col>
      <xdr:colOff>1516944</xdr:colOff>
      <xdr:row>84</xdr:row>
      <xdr:rowOff>42329</xdr:rowOff>
    </xdr:from>
    <xdr:to>
      <xdr:col>14</xdr:col>
      <xdr:colOff>126998</xdr:colOff>
      <xdr:row>88</xdr:row>
      <xdr:rowOff>141111</xdr:rowOff>
    </xdr:to>
    <xdr:sp macro="" textlink="">
      <xdr:nvSpPr>
        <xdr:cNvPr id="32" name="Line 23"/>
        <xdr:cNvSpPr>
          <a:spLocks noChangeShapeType="1"/>
        </xdr:cNvSpPr>
      </xdr:nvSpPr>
      <xdr:spPr bwMode="auto">
        <a:xfrm flipV="1">
          <a:off x="8692444" y="6208179"/>
          <a:ext cx="178504" cy="936982"/>
        </a:xfrm>
        <a:prstGeom prst="line">
          <a:avLst/>
        </a:prstGeom>
        <a:noFill/>
        <a:ln w="15875">
          <a:solidFill>
            <a:schemeClr val="accent6">
              <a:lumMod val="75000"/>
            </a:schemeClr>
          </a:solidFill>
          <a:round/>
          <a:headEnd/>
          <a:tailEnd type="triangle" w="med" len="med"/>
        </a:ln>
      </xdr:spPr>
    </xdr:sp>
    <xdr:clientData/>
  </xdr:twoCellAnchor>
  <xdr:oneCellAnchor>
    <xdr:from>
      <xdr:col>0</xdr:col>
      <xdr:colOff>204611</xdr:colOff>
      <xdr:row>89</xdr:row>
      <xdr:rowOff>74787</xdr:rowOff>
    </xdr:from>
    <xdr:ext cx="6321778" cy="1138767"/>
    <xdr:sp macro="" textlink="">
      <xdr:nvSpPr>
        <xdr:cNvPr id="33" name="AutoShape 24"/>
        <xdr:cNvSpPr>
          <a:spLocks noChangeArrowheads="1"/>
        </xdr:cNvSpPr>
      </xdr:nvSpPr>
      <xdr:spPr bwMode="auto">
        <a:xfrm>
          <a:off x="204611" y="7288387"/>
          <a:ext cx="6321778" cy="1138767"/>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a:t>
          </a:r>
          <a:r>
            <a:rPr lang="zh-CN" altLang="en-US" sz="1100" b="0" i="0" baseline="0">
              <a:effectLst/>
              <a:latin typeface="+mn-lt"/>
              <a:ea typeface="+mn-ea"/>
              <a:cs typeface="+mn-cs"/>
            </a:rPr>
            <a:t>部位名</a:t>
          </a:r>
          <a:r>
            <a:rPr lang="ja-JP" altLang="en-US" sz="1100" b="0" i="0" baseline="0">
              <a:effectLst/>
              <a:latin typeface="+mn-lt"/>
              <a:ea typeface="+mn-ea"/>
              <a:cs typeface="+mn-cs"/>
            </a:rPr>
            <a:t>、</a:t>
          </a:r>
          <a:r>
            <a:rPr lang="zh-CN" altLang="en-US" sz="1100" b="0" i="0" baseline="0">
              <a:effectLst/>
              <a:latin typeface="+mn-lt"/>
              <a:ea typeface="+mn-ea"/>
              <a:cs typeface="+mn-cs"/>
            </a:rPr>
            <a:t>材料名</a:t>
          </a:r>
          <a:r>
            <a:rPr lang="zh-CN" altLang="zh-CN" sz="1100" b="0" i="0" baseline="0">
              <a:effectLst/>
              <a:latin typeface="+mn-lt"/>
              <a:ea typeface="+mn-ea"/>
              <a:cs typeface="+mn-cs"/>
            </a:rPr>
            <a:t>也可以从下拉列表选择</a:t>
          </a:r>
          <a:r>
            <a:rPr lang="zh-CN" altLang="en-US" sz="1100" b="0" i="0" baseline="0">
              <a:effectLst/>
              <a:latin typeface="+mn-lt"/>
              <a:ea typeface="+mn-ea"/>
              <a:cs typeface="+mn-cs"/>
            </a:rPr>
            <a:t>，</a:t>
          </a:r>
          <a:r>
            <a:rPr lang="zh-CN" altLang="zh-CN" sz="1100" b="0" i="0" baseline="0">
              <a:effectLst/>
              <a:latin typeface="+mn-lt"/>
              <a:ea typeface="+mn-ea"/>
              <a:cs typeface="+mn-cs"/>
            </a:rPr>
            <a:t>也可以正常输入</a:t>
          </a:r>
          <a:r>
            <a:rPr lang="ja-JP" altLang="zh-CN" sz="1100" b="0" i="0" baseline="0">
              <a:effectLst/>
              <a:latin typeface="+mn-lt"/>
              <a:ea typeface="+mn-ea"/>
              <a:cs typeface="+mn-cs"/>
            </a:rPr>
            <a:t>。</a:t>
          </a:r>
          <a:r>
            <a:rPr lang="zh-CN" altLang="zh-CN" sz="1100" b="0" i="0" baseline="0">
              <a:effectLst/>
              <a:latin typeface="+mn-lt"/>
              <a:ea typeface="+mn-ea"/>
              <a:cs typeface="+mn-cs"/>
            </a:rPr>
            <a:t>请任意选择</a:t>
          </a:r>
          <a:r>
            <a:rPr lang="ja-JP" altLang="zh-CN" sz="1100" b="0" i="0" baseline="0">
              <a:effectLst/>
              <a:latin typeface="+mn-lt"/>
              <a:ea typeface="+mn-ea"/>
              <a:cs typeface="+mn-cs"/>
            </a:rPr>
            <a:t>。</a:t>
          </a:r>
          <a:endParaRPr lang="en-US" altLang="ja-JP" sz="1100" b="0" i="0" baseline="0">
            <a:effectLst/>
            <a:latin typeface="+mn-lt"/>
            <a:ea typeface="+mn-ea"/>
            <a:cs typeface="+mn-cs"/>
          </a:endParaRPr>
        </a:p>
        <a:p>
          <a:pPr rtl="0"/>
          <a:r>
            <a:rPr lang="ja-JP" altLang="en-US" sz="1100" b="0" i="0" baseline="0">
              <a:effectLst/>
              <a:latin typeface="+mn-lt"/>
              <a:ea typeface="+mn-ea"/>
              <a:cs typeface="+mn-cs"/>
            </a:rPr>
            <a:t>  </a:t>
          </a:r>
          <a:r>
            <a:rPr lang="zh-CN" altLang="en-US" sz="1100" b="0" i="0" baseline="0">
              <a:effectLst/>
              <a:latin typeface="+mn-lt"/>
              <a:ea typeface="+mn-ea"/>
              <a:cs typeface="+mn-cs"/>
            </a:rPr>
            <a:t>另外</a:t>
          </a:r>
          <a:r>
            <a:rPr lang="ja-JP" altLang="en-US" sz="1100" b="0" i="0" baseline="0">
              <a:effectLst/>
              <a:latin typeface="+mn-lt"/>
              <a:ea typeface="+mn-ea"/>
              <a:cs typeface="+mn-cs"/>
            </a:rPr>
            <a:t>、</a:t>
          </a:r>
          <a:r>
            <a:rPr lang="zh-CN" altLang="en-US" sz="1100" b="0" i="0" baseline="0">
              <a:effectLst/>
              <a:latin typeface="+mn-lt"/>
              <a:ea typeface="+mn-ea"/>
              <a:cs typeface="+mn-cs"/>
            </a:rPr>
            <a:t>如果用下拉列表选择部位名后</a:t>
          </a:r>
          <a:r>
            <a:rPr lang="ja-JP" altLang="en-US" sz="1100" b="0" i="0" baseline="0">
              <a:effectLst/>
              <a:latin typeface="+mn-lt"/>
              <a:ea typeface="+mn-ea"/>
              <a:cs typeface="+mn-cs"/>
            </a:rPr>
            <a:t>、</a:t>
          </a:r>
          <a:r>
            <a:rPr lang="zh-CN" altLang="en-US" sz="1100" b="0" i="0" baseline="0">
              <a:effectLst/>
              <a:latin typeface="+mn-lt"/>
              <a:ea typeface="+mn-ea"/>
              <a:cs typeface="+mn-cs"/>
            </a:rPr>
            <a:t>请选择与部位相对应的材料名</a:t>
          </a:r>
          <a:r>
            <a:rPr lang="ja-JP" altLang="en-US" sz="1100" b="0" i="0" baseline="0">
              <a:effectLst/>
              <a:latin typeface="+mn-lt"/>
              <a:ea typeface="+mn-ea"/>
              <a:cs typeface="+mn-cs"/>
            </a:rPr>
            <a:t>。</a:t>
          </a:r>
          <a:endParaRPr lang="en-US" altLang="ja-JP" sz="1100" b="0" i="0" baseline="0">
            <a:effectLst/>
            <a:latin typeface="+mn-lt"/>
            <a:ea typeface="+mn-ea"/>
            <a:cs typeface="+mn-cs"/>
          </a:endParaRPr>
        </a:p>
        <a:p>
          <a:pPr rtl="0"/>
          <a:r>
            <a:rPr lang="ja-JP" altLang="en-US">
              <a:effectLst/>
            </a:rPr>
            <a:t>・</a:t>
          </a:r>
          <a:r>
            <a:rPr lang="zh-CN" altLang="en-US">
              <a:effectLst/>
            </a:rPr>
            <a:t>一个部位的报告使用对应的物质数和同行数</a:t>
          </a:r>
          <a:r>
            <a:rPr lang="ja-JP" altLang="en-US">
              <a:effectLst/>
            </a:rPr>
            <a:t>。</a:t>
          </a:r>
          <a:endParaRPr lang="en-US" altLang="ja-JP">
            <a:effectLst/>
          </a:endParaRPr>
        </a:p>
        <a:p>
          <a:pPr rtl="0"/>
          <a:r>
            <a:rPr lang="ja-JP" altLang="en-US">
              <a:effectLst/>
            </a:rPr>
            <a:t>  </a:t>
          </a:r>
          <a:r>
            <a:rPr lang="zh-CN" altLang="en-US">
              <a:effectLst/>
            </a:rPr>
            <a:t>另外</a:t>
          </a:r>
          <a:r>
            <a:rPr lang="ja-JP" altLang="en-US">
              <a:effectLst/>
            </a:rPr>
            <a:t>、</a:t>
          </a:r>
          <a:r>
            <a:rPr lang="zh-CN" altLang="en-US">
              <a:effectLst/>
            </a:rPr>
            <a:t>数</a:t>
          </a:r>
          <a:r>
            <a:rPr lang="ja-JP" altLang="en-US">
              <a:effectLst/>
            </a:rPr>
            <a:t>、</a:t>
          </a:r>
          <a:r>
            <a:rPr lang="zh-CN" altLang="en-US">
              <a:effectLst/>
            </a:rPr>
            <a:t>部位名、材料名</a:t>
          </a:r>
          <a:r>
            <a:rPr lang="ja-JP" altLang="en-US">
              <a:effectLst/>
            </a:rPr>
            <a:t>、</a:t>
          </a:r>
          <a:r>
            <a:rPr lang="zh-CN" altLang="en-US">
              <a:effectLst/>
            </a:rPr>
            <a:t>材料厂家</a:t>
          </a:r>
          <a:r>
            <a:rPr lang="ja-JP" altLang="en-US">
              <a:effectLst/>
            </a:rPr>
            <a:t>、</a:t>
          </a:r>
          <a:r>
            <a:rPr lang="zh-CN" altLang="en-US">
              <a:effectLst/>
            </a:rPr>
            <a:t>型式</a:t>
          </a:r>
          <a:r>
            <a:rPr lang="ja-JP" altLang="en-US">
              <a:effectLst/>
            </a:rPr>
            <a:t>、</a:t>
          </a:r>
          <a:r>
            <a:rPr lang="zh-CN" altLang="en-US">
              <a:effectLst/>
            </a:rPr>
            <a:t>部位质量只记入到最上段</a:t>
          </a:r>
          <a:r>
            <a:rPr lang="ja-JP" altLang="en-US">
              <a:effectLst/>
            </a:rPr>
            <a:t>。</a:t>
          </a:r>
          <a:endParaRPr lang="en-US" altLang="ja-JP">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a:t>
          </a:r>
          <a:r>
            <a:rPr lang="zh-CN" altLang="en-US" sz="1100">
              <a:effectLst/>
              <a:latin typeface="+mn-lt"/>
              <a:ea typeface="+mn-ea"/>
              <a:cs typeface="+mn-cs"/>
            </a:rPr>
            <a:t>分析结果报告书和部品构成记载要一样</a:t>
          </a:r>
          <a:r>
            <a:rPr lang="ja-JP" altLang="ja-JP" sz="1100" b="0" i="0" baseline="0">
              <a:effectLst/>
              <a:latin typeface="+mn-lt"/>
              <a:ea typeface="+mn-ea"/>
              <a:cs typeface="+mn-cs"/>
            </a:rPr>
            <a:t>。</a:t>
          </a:r>
          <a:endParaRPr lang="ja-JP" altLang="ja-JP">
            <a:effectLst/>
          </a:endParaRPr>
        </a:p>
      </xdr:txBody>
    </xdr:sp>
    <xdr:clientData/>
  </xdr:oneCellAnchor>
  <xdr:twoCellAnchor>
    <xdr:from>
      <xdr:col>8</xdr:col>
      <xdr:colOff>180621</xdr:colOff>
      <xdr:row>83</xdr:row>
      <xdr:rowOff>183443</xdr:rowOff>
    </xdr:from>
    <xdr:to>
      <xdr:col>13</xdr:col>
      <xdr:colOff>423333</xdr:colOff>
      <xdr:row>89</xdr:row>
      <xdr:rowOff>74787</xdr:rowOff>
    </xdr:to>
    <xdr:sp macro="" textlink="">
      <xdr:nvSpPr>
        <xdr:cNvPr id="34" name="Line 23"/>
        <xdr:cNvSpPr>
          <a:spLocks noChangeShapeType="1"/>
        </xdr:cNvSpPr>
      </xdr:nvSpPr>
      <xdr:spPr bwMode="auto">
        <a:xfrm flipV="1">
          <a:off x="5266971" y="6139743"/>
          <a:ext cx="2331862" cy="1148644"/>
        </a:xfrm>
        <a:prstGeom prst="line">
          <a:avLst/>
        </a:prstGeom>
        <a:noFill/>
        <a:ln w="15875">
          <a:solidFill>
            <a:schemeClr val="accent6">
              <a:lumMod val="75000"/>
            </a:schemeClr>
          </a:solidFill>
          <a:round/>
          <a:headEnd/>
          <a:tailEnd type="triangle" w="med" len="med"/>
        </a:ln>
      </xdr:spPr>
    </xdr:sp>
    <xdr:clientData/>
  </xdr:twoCellAnchor>
  <xdr:twoCellAnchor>
    <xdr:from>
      <xdr:col>12</xdr:col>
      <xdr:colOff>25401</xdr:colOff>
      <xdr:row>79</xdr:row>
      <xdr:rowOff>7054</xdr:rowOff>
    </xdr:from>
    <xdr:to>
      <xdr:col>13</xdr:col>
      <xdr:colOff>28223</xdr:colOff>
      <xdr:row>103</xdr:row>
      <xdr:rowOff>56444</xdr:rowOff>
    </xdr:to>
    <xdr:sp macro="" textlink="">
      <xdr:nvSpPr>
        <xdr:cNvPr id="35" name="AutoShape 3"/>
        <xdr:cNvSpPr>
          <a:spLocks noChangeArrowheads="1"/>
        </xdr:cNvSpPr>
      </xdr:nvSpPr>
      <xdr:spPr bwMode="auto">
        <a:xfrm>
          <a:off x="6597651" y="4985454"/>
          <a:ext cx="606072" cy="5377040"/>
        </a:xfrm>
        <a:prstGeom prst="roundRect">
          <a:avLst>
            <a:gd name="adj" fmla="val 16667"/>
          </a:avLst>
        </a:prstGeom>
        <a:noFill/>
        <a:ln w="25400" algn="ctr">
          <a:solidFill>
            <a:schemeClr val="bg2">
              <a:lumMod val="25000"/>
            </a:schemeClr>
          </a:solidFill>
          <a:round/>
          <a:headEnd/>
          <a:tailEnd/>
        </a:ln>
      </xdr:spPr>
    </xdr:sp>
    <xdr:clientData/>
  </xdr:twoCellAnchor>
  <xdr:twoCellAnchor>
    <xdr:from>
      <xdr:col>15</xdr:col>
      <xdr:colOff>601134</xdr:colOff>
      <xdr:row>78</xdr:row>
      <xdr:rowOff>95954</xdr:rowOff>
    </xdr:from>
    <xdr:to>
      <xdr:col>16</xdr:col>
      <xdr:colOff>603956</xdr:colOff>
      <xdr:row>103</xdr:row>
      <xdr:rowOff>18344</xdr:rowOff>
    </xdr:to>
    <xdr:sp macro="" textlink="">
      <xdr:nvSpPr>
        <xdr:cNvPr id="36" name="AutoShape 3"/>
        <xdr:cNvSpPr>
          <a:spLocks noChangeArrowheads="1"/>
        </xdr:cNvSpPr>
      </xdr:nvSpPr>
      <xdr:spPr bwMode="auto">
        <a:xfrm>
          <a:off x="9948334" y="4947354"/>
          <a:ext cx="606072" cy="5377040"/>
        </a:xfrm>
        <a:prstGeom prst="roundRect">
          <a:avLst>
            <a:gd name="adj" fmla="val 16667"/>
          </a:avLst>
        </a:prstGeom>
        <a:noFill/>
        <a:ln w="25400" algn="ctr">
          <a:solidFill>
            <a:schemeClr val="bg2">
              <a:lumMod val="25000"/>
            </a:schemeClr>
          </a:solidFill>
          <a:round/>
          <a:headEnd/>
          <a:tailEnd/>
        </a:ln>
      </xdr:spPr>
    </xdr:sp>
    <xdr:clientData/>
  </xdr:twoCellAnchor>
  <xdr:twoCellAnchor>
    <xdr:from>
      <xdr:col>12</xdr:col>
      <xdr:colOff>480786</xdr:colOff>
      <xdr:row>94</xdr:row>
      <xdr:rowOff>18143</xdr:rowOff>
    </xdr:from>
    <xdr:to>
      <xdr:col>13</xdr:col>
      <xdr:colOff>403174</xdr:colOff>
      <xdr:row>97</xdr:row>
      <xdr:rowOff>156231</xdr:rowOff>
    </xdr:to>
    <xdr:sp macro="" textlink="">
      <xdr:nvSpPr>
        <xdr:cNvPr id="38" name="Line 23"/>
        <xdr:cNvSpPr>
          <a:spLocks noChangeShapeType="1"/>
        </xdr:cNvSpPr>
      </xdr:nvSpPr>
      <xdr:spPr bwMode="auto">
        <a:xfrm flipH="1" flipV="1">
          <a:off x="7066643" y="8744857"/>
          <a:ext cx="530174" cy="764017"/>
        </a:xfrm>
        <a:prstGeom prst="line">
          <a:avLst/>
        </a:prstGeom>
        <a:noFill/>
        <a:ln w="15875">
          <a:solidFill>
            <a:srgbClr val="FF6600"/>
          </a:solidFill>
          <a:round/>
          <a:headEnd/>
          <a:tailEnd type="triangle" w="med" len="med"/>
        </a:ln>
      </xdr:spPr>
    </xdr:sp>
    <xdr:clientData/>
  </xdr:twoCellAnchor>
  <xdr:twoCellAnchor>
    <xdr:from>
      <xdr:col>15</xdr:col>
      <xdr:colOff>368904</xdr:colOff>
      <xdr:row>95</xdr:row>
      <xdr:rowOff>117928</xdr:rowOff>
    </xdr:from>
    <xdr:to>
      <xdr:col>16</xdr:col>
      <xdr:colOff>254000</xdr:colOff>
      <xdr:row>98</xdr:row>
      <xdr:rowOff>28220</xdr:rowOff>
    </xdr:to>
    <xdr:sp macro="" textlink="">
      <xdr:nvSpPr>
        <xdr:cNvPr id="39" name="Line 23"/>
        <xdr:cNvSpPr>
          <a:spLocks noChangeShapeType="1"/>
        </xdr:cNvSpPr>
      </xdr:nvSpPr>
      <xdr:spPr bwMode="auto">
        <a:xfrm flipV="1">
          <a:off x="9739690" y="9053285"/>
          <a:ext cx="492881" cy="536221"/>
        </a:xfrm>
        <a:prstGeom prst="line">
          <a:avLst/>
        </a:prstGeom>
        <a:noFill/>
        <a:ln w="15875">
          <a:solidFill>
            <a:srgbClr val="FF6600"/>
          </a:solidFill>
          <a:round/>
          <a:headEnd/>
          <a:tailEnd type="triangle" w="med" len="med"/>
        </a:ln>
      </xdr:spPr>
    </xdr:sp>
    <xdr:clientData/>
  </xdr:twoCellAnchor>
  <xdr:oneCellAnchor>
    <xdr:from>
      <xdr:col>15</xdr:col>
      <xdr:colOff>88903</xdr:colOff>
      <xdr:row>105</xdr:row>
      <xdr:rowOff>46566</xdr:rowOff>
    </xdr:from>
    <xdr:ext cx="3184874" cy="891822"/>
    <xdr:sp macro="" textlink="">
      <xdr:nvSpPr>
        <xdr:cNvPr id="40" name="AutoShape 24"/>
        <xdr:cNvSpPr>
          <a:spLocks noChangeArrowheads="1"/>
        </xdr:cNvSpPr>
      </xdr:nvSpPr>
      <xdr:spPr bwMode="auto">
        <a:xfrm>
          <a:off x="9436103" y="10822516"/>
          <a:ext cx="3184874" cy="891822"/>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a:t>
          </a:r>
          <a:r>
            <a:rPr lang="zh-CN" altLang="en-US" sz="1100" b="0" i="0" baseline="0">
              <a:effectLst/>
              <a:latin typeface="+mn-lt"/>
              <a:ea typeface="+mn-ea"/>
              <a:cs typeface="+mn-cs"/>
            </a:rPr>
            <a:t>自动计算并记载</a:t>
          </a:r>
          <a:r>
            <a:rPr lang="ja-JP" altLang="en-US" sz="1100" b="0" i="0" baseline="0">
              <a:effectLst/>
              <a:latin typeface="+mn-lt"/>
              <a:ea typeface="+mn-ea"/>
              <a:cs typeface="+mn-cs"/>
            </a:rPr>
            <a:t>。</a:t>
          </a:r>
          <a:endParaRPr lang="en-US" altLang="ja-JP" sz="1100" b="0" i="0" baseline="0">
            <a:effectLst/>
            <a:latin typeface="+mn-lt"/>
            <a:ea typeface="+mn-ea"/>
            <a:cs typeface="+mn-cs"/>
          </a:endParaRPr>
        </a:p>
        <a:p>
          <a:pPr rtl="0"/>
          <a:r>
            <a:rPr lang="ja-JP" altLang="en-US" sz="1100" b="0" i="0" baseline="0">
              <a:effectLst/>
              <a:latin typeface="+mn-lt"/>
              <a:ea typeface="+mn-ea"/>
              <a:cs typeface="+mn-cs"/>
            </a:rPr>
            <a:t>・</a:t>
          </a:r>
          <a:r>
            <a:rPr lang="zh-CN" altLang="en-US" sz="1100" b="0" i="0" baseline="0">
              <a:effectLst/>
              <a:latin typeface="+mn-lt"/>
              <a:ea typeface="+mn-ea"/>
              <a:cs typeface="+mn-cs"/>
            </a:rPr>
            <a:t>输入不可</a:t>
          </a:r>
          <a:r>
            <a:rPr lang="ja-JP" altLang="en-US" sz="1100" b="0" i="0" baseline="0">
              <a:effectLst/>
              <a:latin typeface="+mn-lt"/>
              <a:ea typeface="+mn-ea"/>
              <a:cs typeface="+mn-cs"/>
            </a:rPr>
            <a:t>。</a:t>
          </a:r>
          <a:endParaRPr lang="en-US" altLang="ja-JP" sz="1100" b="0" i="0" baseline="0">
            <a:effectLst/>
            <a:latin typeface="+mn-lt"/>
            <a:ea typeface="+mn-ea"/>
            <a:cs typeface="+mn-cs"/>
          </a:endParaRPr>
        </a:p>
        <a:p>
          <a:pPr rtl="0"/>
          <a:r>
            <a:rPr lang="ja-JP" altLang="en-US" sz="1100" b="0" i="0" baseline="0">
              <a:effectLst/>
              <a:latin typeface="+mn-lt"/>
              <a:ea typeface="+mn-ea"/>
              <a:cs typeface="+mn-cs"/>
            </a:rPr>
            <a:t>・</a:t>
          </a:r>
          <a:r>
            <a:rPr lang="zh-CN" altLang="en-US" sz="1100" b="0" i="0" baseline="0">
              <a:effectLst/>
              <a:latin typeface="+mn-lt"/>
              <a:ea typeface="+mn-ea"/>
              <a:cs typeface="+mn-cs"/>
            </a:rPr>
            <a:t>只要输入正确两方的数值是一样</a:t>
          </a:r>
          <a:r>
            <a:rPr lang="ja-JP" altLang="en-US" sz="1100" b="0" i="0" baseline="0">
              <a:effectLst/>
              <a:latin typeface="+mn-lt"/>
              <a:ea typeface="+mn-ea"/>
              <a:cs typeface="+mn-cs"/>
            </a:rPr>
            <a:t>。</a:t>
          </a:r>
          <a:endParaRPr lang="en-US" altLang="ja-JP" sz="1100" b="0" i="0" baseline="0">
            <a:effectLst/>
            <a:latin typeface="+mn-lt"/>
            <a:ea typeface="+mn-ea"/>
            <a:cs typeface="+mn-cs"/>
          </a:endParaRPr>
        </a:p>
      </xdr:txBody>
    </xdr:sp>
    <xdr:clientData/>
  </xdr:oneCellAnchor>
  <xdr:twoCellAnchor>
    <xdr:from>
      <xdr:col>13</xdr:col>
      <xdr:colOff>190499</xdr:colOff>
      <xdr:row>102</xdr:row>
      <xdr:rowOff>169332</xdr:rowOff>
    </xdr:from>
    <xdr:to>
      <xdr:col>15</xdr:col>
      <xdr:colOff>91722</xdr:colOff>
      <xdr:row>105</xdr:row>
      <xdr:rowOff>204610</xdr:rowOff>
    </xdr:to>
    <xdr:sp macro="" textlink="">
      <xdr:nvSpPr>
        <xdr:cNvPr id="41" name="Line 23"/>
        <xdr:cNvSpPr>
          <a:spLocks noChangeShapeType="1"/>
        </xdr:cNvSpPr>
      </xdr:nvSpPr>
      <xdr:spPr bwMode="auto">
        <a:xfrm flipH="1" flipV="1">
          <a:off x="7365999" y="10259482"/>
          <a:ext cx="2072923" cy="721078"/>
        </a:xfrm>
        <a:prstGeom prst="line">
          <a:avLst/>
        </a:prstGeom>
        <a:noFill/>
        <a:ln w="15875">
          <a:solidFill>
            <a:srgbClr val="FF6600"/>
          </a:solidFill>
          <a:round/>
          <a:headEnd/>
          <a:tailEnd type="triangle" w="med" len="med"/>
        </a:ln>
      </xdr:spPr>
    </xdr:sp>
    <xdr:clientData/>
  </xdr:twoCellAnchor>
  <xdr:twoCellAnchor>
    <xdr:from>
      <xdr:col>16</xdr:col>
      <xdr:colOff>169333</xdr:colOff>
      <xdr:row>103</xdr:row>
      <xdr:rowOff>63499</xdr:rowOff>
    </xdr:from>
    <xdr:to>
      <xdr:col>16</xdr:col>
      <xdr:colOff>268112</xdr:colOff>
      <xdr:row>105</xdr:row>
      <xdr:rowOff>42332</xdr:rowOff>
    </xdr:to>
    <xdr:sp macro="" textlink="">
      <xdr:nvSpPr>
        <xdr:cNvPr id="42" name="Line 23"/>
        <xdr:cNvSpPr>
          <a:spLocks noChangeShapeType="1"/>
        </xdr:cNvSpPr>
      </xdr:nvSpPr>
      <xdr:spPr bwMode="auto">
        <a:xfrm flipV="1">
          <a:off x="10119783" y="10369549"/>
          <a:ext cx="98779" cy="448733"/>
        </a:xfrm>
        <a:prstGeom prst="line">
          <a:avLst/>
        </a:prstGeom>
        <a:noFill/>
        <a:ln w="15875">
          <a:solidFill>
            <a:srgbClr val="FF6600"/>
          </a:solidFill>
          <a:round/>
          <a:headEnd/>
          <a:tailEnd type="triangle" w="med" len="med"/>
        </a:ln>
      </xdr:spPr>
    </xdr:sp>
    <xdr:clientData/>
  </xdr:twoCellAnchor>
  <xdr:twoCellAnchor>
    <xdr:from>
      <xdr:col>17</xdr:col>
      <xdr:colOff>500944</xdr:colOff>
      <xdr:row>84</xdr:row>
      <xdr:rowOff>7054</xdr:rowOff>
    </xdr:from>
    <xdr:to>
      <xdr:col>18</xdr:col>
      <xdr:colOff>599720</xdr:colOff>
      <xdr:row>93</xdr:row>
      <xdr:rowOff>7053</xdr:rowOff>
    </xdr:to>
    <xdr:sp macro="" textlink="">
      <xdr:nvSpPr>
        <xdr:cNvPr id="43" name="Line 23"/>
        <xdr:cNvSpPr>
          <a:spLocks noChangeShapeType="1"/>
        </xdr:cNvSpPr>
      </xdr:nvSpPr>
      <xdr:spPr bwMode="auto">
        <a:xfrm flipH="1" flipV="1">
          <a:off x="11054644" y="6172904"/>
          <a:ext cx="930626" cy="1885949"/>
        </a:xfrm>
        <a:prstGeom prst="line">
          <a:avLst/>
        </a:prstGeom>
        <a:noFill/>
        <a:ln w="15875">
          <a:solidFill>
            <a:srgbClr val="FF6600"/>
          </a:solidFill>
          <a:round/>
          <a:headEnd/>
          <a:tailEnd type="triangle" w="med" len="med"/>
        </a:ln>
      </xdr:spPr>
      <xdr:txBody>
        <a:bodyPr/>
        <a:lstStyle/>
        <a:p>
          <a:endParaRPr lang="ja-JP" altLang="en-US"/>
        </a:p>
      </xdr:txBody>
    </xdr:sp>
    <xdr:clientData/>
  </xdr:twoCellAnchor>
  <xdr:twoCellAnchor>
    <xdr:from>
      <xdr:col>17</xdr:col>
      <xdr:colOff>18348</xdr:colOff>
      <xdr:row>78</xdr:row>
      <xdr:rowOff>74788</xdr:rowOff>
    </xdr:from>
    <xdr:to>
      <xdr:col>18</xdr:col>
      <xdr:colOff>7056</xdr:colOff>
      <xdr:row>83</xdr:row>
      <xdr:rowOff>208844</xdr:rowOff>
    </xdr:to>
    <xdr:sp macro="" textlink="">
      <xdr:nvSpPr>
        <xdr:cNvPr id="44" name="AutoShape 3"/>
        <xdr:cNvSpPr>
          <a:spLocks noChangeArrowheads="1"/>
        </xdr:cNvSpPr>
      </xdr:nvSpPr>
      <xdr:spPr bwMode="auto">
        <a:xfrm>
          <a:off x="10572048" y="4926188"/>
          <a:ext cx="820558" cy="1238956"/>
        </a:xfrm>
        <a:prstGeom prst="roundRect">
          <a:avLst>
            <a:gd name="adj" fmla="val 16667"/>
          </a:avLst>
        </a:prstGeom>
        <a:noFill/>
        <a:ln w="15875" algn="ctr">
          <a:solidFill>
            <a:srgbClr val="FF6600"/>
          </a:solidFill>
          <a:round/>
          <a:headEnd/>
          <a:tailEnd/>
        </a:ln>
      </xdr:spPr>
    </xdr:sp>
    <xdr:clientData/>
  </xdr:twoCellAnchor>
  <xdr:twoCellAnchor>
    <xdr:from>
      <xdr:col>18</xdr:col>
      <xdr:colOff>29635</xdr:colOff>
      <xdr:row>78</xdr:row>
      <xdr:rowOff>79021</xdr:rowOff>
    </xdr:from>
    <xdr:to>
      <xdr:col>19</xdr:col>
      <xdr:colOff>7056</xdr:colOff>
      <xdr:row>84</xdr:row>
      <xdr:rowOff>1410</xdr:rowOff>
    </xdr:to>
    <xdr:sp macro="" textlink="">
      <xdr:nvSpPr>
        <xdr:cNvPr id="45" name="AutoShape 3"/>
        <xdr:cNvSpPr>
          <a:spLocks noChangeArrowheads="1"/>
        </xdr:cNvSpPr>
      </xdr:nvSpPr>
      <xdr:spPr bwMode="auto">
        <a:xfrm>
          <a:off x="11415185" y="4930421"/>
          <a:ext cx="720371" cy="1236839"/>
        </a:xfrm>
        <a:prstGeom prst="roundRect">
          <a:avLst>
            <a:gd name="adj" fmla="val 16667"/>
          </a:avLst>
        </a:prstGeom>
        <a:noFill/>
        <a:ln w="15875" algn="ctr">
          <a:solidFill>
            <a:srgbClr val="FF6600"/>
          </a:solidFill>
          <a:round/>
          <a:headEnd/>
          <a:tailEnd/>
        </a:ln>
      </xdr:spPr>
    </xdr:sp>
    <xdr:clientData/>
  </xdr:twoCellAnchor>
  <xdr:oneCellAnchor>
    <xdr:from>
      <xdr:col>20</xdr:col>
      <xdr:colOff>192918</xdr:colOff>
      <xdr:row>82</xdr:row>
      <xdr:rowOff>154214</xdr:rowOff>
    </xdr:from>
    <xdr:ext cx="2770415" cy="943429"/>
    <xdr:sp macro="" textlink="">
      <xdr:nvSpPr>
        <xdr:cNvPr id="46" name="AutoShape 24"/>
        <xdr:cNvSpPr>
          <a:spLocks noChangeArrowheads="1"/>
        </xdr:cNvSpPr>
      </xdr:nvSpPr>
      <xdr:spPr bwMode="auto">
        <a:xfrm>
          <a:off x="13101561" y="6377214"/>
          <a:ext cx="2770415" cy="943429"/>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a:t>
          </a:r>
          <a:r>
            <a:rPr lang="zh-CN" altLang="en-US" sz="1100" b="0" i="0" baseline="0">
              <a:effectLst/>
              <a:latin typeface="+mn-lt"/>
              <a:ea typeface="+mn-ea"/>
              <a:cs typeface="+mn-cs"/>
            </a:rPr>
            <a:t>记入是否为意图含有或作为不纯物之含有</a:t>
          </a:r>
          <a:r>
            <a:rPr lang="ja-JP" altLang="en-US" sz="1100" b="0" i="0" baseline="0">
              <a:effectLst/>
              <a:latin typeface="+mn-lt"/>
              <a:ea typeface="+mn-ea"/>
              <a:cs typeface="+mn-cs"/>
            </a:rPr>
            <a:t>。</a:t>
          </a:r>
          <a:endParaRPr lang="en-US" altLang="ja-JP" sz="1100" b="0" i="0" baseline="0">
            <a:effectLst/>
            <a:latin typeface="+mn-lt"/>
            <a:ea typeface="+mn-ea"/>
            <a:cs typeface="+mn-cs"/>
          </a:endParaRPr>
        </a:p>
        <a:p>
          <a:pPr rtl="0"/>
          <a:r>
            <a:rPr lang="ja-JP" altLang="en-US" sz="1100" b="0" i="0" baseline="0">
              <a:effectLst/>
              <a:latin typeface="+mn-lt"/>
              <a:ea typeface="+mn-ea"/>
              <a:cs typeface="+mn-cs"/>
            </a:rPr>
            <a:t>・有意</a:t>
          </a:r>
          <a:r>
            <a:rPr lang="en-US" altLang="ja-JP" sz="1100" b="0" i="0" baseline="0">
              <a:effectLst/>
              <a:latin typeface="+mn-lt"/>
              <a:ea typeface="+mn-ea"/>
              <a:cs typeface="+mn-cs"/>
            </a:rPr>
            <a:t>/</a:t>
          </a:r>
          <a:r>
            <a:rPr lang="ja-JP" altLang="en-US" sz="1100" b="0" i="0" baseline="0">
              <a:effectLst/>
              <a:latin typeface="+mn-lt"/>
              <a:ea typeface="+mn-ea"/>
              <a:cs typeface="+mn-cs"/>
            </a:rPr>
            <a:t>杂质</a:t>
          </a:r>
          <a:r>
            <a:rPr lang="en-US" altLang="ja-JP" sz="1100" b="0" i="0" baseline="0">
              <a:effectLst/>
              <a:latin typeface="+mn-lt"/>
              <a:ea typeface="+mn-ea"/>
              <a:cs typeface="+mn-cs"/>
            </a:rPr>
            <a:t>,</a:t>
          </a:r>
          <a:r>
            <a:rPr lang="ja-JP" altLang="en-US" sz="1100" b="0" i="0" baseline="0">
              <a:effectLst/>
              <a:latin typeface="+mn-lt"/>
              <a:ea typeface="+mn-ea"/>
              <a:cs typeface="+mn-cs"/>
            </a:rPr>
            <a:t>備考</a:t>
          </a:r>
          <a:r>
            <a:rPr lang="en-US" altLang="ja-JP" sz="1100" b="0" i="0" baseline="0">
              <a:effectLst/>
              <a:latin typeface="+mn-lt"/>
              <a:ea typeface="+mn-ea"/>
              <a:cs typeface="+mn-cs"/>
            </a:rPr>
            <a:t> </a:t>
          </a:r>
          <a:r>
            <a:rPr lang="ja-JP" altLang="en-US" sz="1100" b="0" i="0" baseline="0">
              <a:effectLst/>
              <a:latin typeface="+mn-lt"/>
              <a:ea typeface="+mn-ea"/>
              <a:cs typeface="+mn-cs"/>
            </a:rPr>
            <a:t>也可以从下拉列表选择，</a:t>
          </a:r>
        </a:p>
        <a:p>
          <a:pPr rtl="0"/>
          <a:r>
            <a:rPr lang="ja-JP" altLang="en-US" sz="1100" b="0" i="0" baseline="0">
              <a:effectLst/>
              <a:latin typeface="+mn-lt"/>
              <a:ea typeface="+mn-ea"/>
              <a:cs typeface="+mn-cs"/>
            </a:rPr>
            <a:t>  也可以正常输入。请任意选择。</a:t>
          </a:r>
        </a:p>
      </xdr:txBody>
    </xdr:sp>
    <xdr:clientData/>
  </xdr:oneCellAnchor>
  <xdr:twoCellAnchor>
    <xdr:from>
      <xdr:col>19</xdr:col>
      <xdr:colOff>12702</xdr:colOff>
      <xdr:row>78</xdr:row>
      <xdr:rowOff>90310</xdr:rowOff>
    </xdr:from>
    <xdr:to>
      <xdr:col>19</xdr:col>
      <xdr:colOff>730956</xdr:colOff>
      <xdr:row>84</xdr:row>
      <xdr:rowOff>12699</xdr:rowOff>
    </xdr:to>
    <xdr:sp macro="" textlink="">
      <xdr:nvSpPr>
        <xdr:cNvPr id="47" name="AutoShape 3"/>
        <xdr:cNvSpPr>
          <a:spLocks noChangeArrowheads="1"/>
        </xdr:cNvSpPr>
      </xdr:nvSpPr>
      <xdr:spPr bwMode="auto">
        <a:xfrm>
          <a:off x="12141202" y="4941710"/>
          <a:ext cx="718254" cy="1236839"/>
        </a:xfrm>
        <a:prstGeom prst="roundRect">
          <a:avLst>
            <a:gd name="adj" fmla="val 16667"/>
          </a:avLst>
        </a:prstGeom>
        <a:noFill/>
        <a:ln w="15875" algn="ctr">
          <a:solidFill>
            <a:srgbClr val="FF6600"/>
          </a:solidFill>
          <a:round/>
          <a:headEnd/>
          <a:tailEnd/>
        </a:ln>
      </xdr:spPr>
    </xdr:sp>
    <xdr:clientData/>
  </xdr:twoCellAnchor>
  <xdr:twoCellAnchor>
    <xdr:from>
      <xdr:col>19</xdr:col>
      <xdr:colOff>451556</xdr:colOff>
      <xdr:row>84</xdr:row>
      <xdr:rowOff>49389</xdr:rowOff>
    </xdr:from>
    <xdr:to>
      <xdr:col>20</xdr:col>
      <xdr:colOff>176388</xdr:colOff>
      <xdr:row>85</xdr:row>
      <xdr:rowOff>169333</xdr:rowOff>
    </xdr:to>
    <xdr:sp macro="" textlink="">
      <xdr:nvSpPr>
        <xdr:cNvPr id="48" name="Line 23"/>
        <xdr:cNvSpPr>
          <a:spLocks noChangeShapeType="1"/>
        </xdr:cNvSpPr>
      </xdr:nvSpPr>
      <xdr:spPr bwMode="auto">
        <a:xfrm flipH="1" flipV="1">
          <a:off x="12580056" y="6215239"/>
          <a:ext cx="467782" cy="329494"/>
        </a:xfrm>
        <a:prstGeom prst="line">
          <a:avLst/>
        </a:prstGeom>
        <a:noFill/>
        <a:ln w="15875">
          <a:solidFill>
            <a:schemeClr val="accent6">
              <a:lumMod val="75000"/>
            </a:schemeClr>
          </a:solidFill>
          <a:round/>
          <a:headEnd/>
          <a:tailEnd type="triangle" w="med" len="med"/>
        </a:ln>
      </xdr:spPr>
    </xdr:sp>
    <xdr:clientData/>
  </xdr:twoCellAnchor>
  <xdr:oneCellAnchor>
    <xdr:from>
      <xdr:col>18</xdr:col>
      <xdr:colOff>475141</xdr:colOff>
      <xdr:row>88</xdr:row>
      <xdr:rowOff>49388</xdr:rowOff>
    </xdr:from>
    <xdr:ext cx="3031470" cy="567264"/>
    <xdr:sp macro="" textlink="">
      <xdr:nvSpPr>
        <xdr:cNvPr id="49" name="AutoShape 24"/>
        <xdr:cNvSpPr>
          <a:spLocks noChangeArrowheads="1"/>
        </xdr:cNvSpPr>
      </xdr:nvSpPr>
      <xdr:spPr bwMode="auto">
        <a:xfrm>
          <a:off x="11860691" y="7053438"/>
          <a:ext cx="3031470" cy="567264"/>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a:t>
          </a:r>
          <a:r>
            <a:rPr lang="zh-CN" altLang="en-US" sz="1100" b="0" i="0" baseline="0">
              <a:effectLst/>
              <a:latin typeface="+mn-lt"/>
              <a:ea typeface="+mn-ea"/>
              <a:cs typeface="+mn-cs"/>
            </a:rPr>
            <a:t>符合</a:t>
          </a:r>
          <a:r>
            <a:rPr lang="en-US" altLang="ja-JP" sz="1100" b="0" i="0" baseline="0">
              <a:effectLst/>
              <a:latin typeface="+mn-lt"/>
              <a:ea typeface="+mn-ea"/>
              <a:cs typeface="+mn-cs"/>
            </a:rPr>
            <a:t>RoHS</a:t>
          </a:r>
          <a:r>
            <a:rPr lang="zh-CN" altLang="en-US" sz="1100" b="0" i="0" baseline="0">
              <a:effectLst/>
              <a:latin typeface="+mn-lt"/>
              <a:ea typeface="+mn-ea"/>
              <a:cs typeface="+mn-cs"/>
            </a:rPr>
            <a:t>指令适用除外的情况</a:t>
          </a:r>
          <a:endParaRPr lang="en-US" altLang="ja-JP" sz="1100" b="0" i="0" baseline="0">
            <a:effectLst/>
            <a:latin typeface="+mn-lt"/>
            <a:ea typeface="+mn-ea"/>
            <a:cs typeface="+mn-cs"/>
          </a:endParaRPr>
        </a:p>
        <a:p>
          <a:pPr rtl="0"/>
          <a:r>
            <a:rPr lang="zh-CN" altLang="en-US" sz="1100" b="0" i="0" baseline="0">
              <a:effectLst/>
              <a:latin typeface="+mn-lt"/>
              <a:ea typeface="+mn-ea"/>
              <a:cs typeface="+mn-cs"/>
            </a:rPr>
            <a:t>请记入其适用除外的编号</a:t>
          </a:r>
          <a:r>
            <a:rPr lang="ja-JP" altLang="en-US" sz="1100" b="0" i="0" baseline="0">
              <a:effectLst/>
              <a:latin typeface="+mn-lt"/>
              <a:ea typeface="+mn-ea"/>
              <a:cs typeface="+mn-cs"/>
            </a:rPr>
            <a:t>。</a:t>
          </a:r>
        </a:p>
      </xdr:txBody>
    </xdr:sp>
    <xdr:clientData/>
  </xdr:oneCellAnchor>
  <xdr:twoCellAnchor>
    <xdr:from>
      <xdr:col>18</xdr:col>
      <xdr:colOff>402166</xdr:colOff>
      <xdr:row>84</xdr:row>
      <xdr:rowOff>14111</xdr:rowOff>
    </xdr:from>
    <xdr:to>
      <xdr:col>19</xdr:col>
      <xdr:colOff>141110</xdr:colOff>
      <xdr:row>87</xdr:row>
      <xdr:rowOff>204611</xdr:rowOff>
    </xdr:to>
    <xdr:sp macro="" textlink="">
      <xdr:nvSpPr>
        <xdr:cNvPr id="50" name="Line 23"/>
        <xdr:cNvSpPr>
          <a:spLocks noChangeShapeType="1"/>
        </xdr:cNvSpPr>
      </xdr:nvSpPr>
      <xdr:spPr bwMode="auto">
        <a:xfrm flipH="1" flipV="1">
          <a:off x="11787716" y="6179961"/>
          <a:ext cx="481894" cy="819150"/>
        </a:xfrm>
        <a:prstGeom prst="line">
          <a:avLst/>
        </a:prstGeom>
        <a:noFill/>
        <a:ln w="15875">
          <a:solidFill>
            <a:schemeClr val="accent6">
              <a:lumMod val="75000"/>
            </a:schemeClr>
          </a:solidFill>
          <a:round/>
          <a:headEnd/>
          <a:tailEnd type="triangle" w="med" len="med"/>
        </a:ln>
      </xdr:spPr>
    </xdr:sp>
    <xdr:clientData/>
  </xdr:twoCellAnchor>
  <xdr:oneCellAnchor>
    <xdr:from>
      <xdr:col>13</xdr:col>
      <xdr:colOff>56446</xdr:colOff>
      <xdr:row>88</xdr:row>
      <xdr:rowOff>126999</xdr:rowOff>
    </xdr:from>
    <xdr:ext cx="3739444" cy="1227667"/>
    <xdr:sp macro="" textlink="">
      <xdr:nvSpPr>
        <xdr:cNvPr id="51" name="AutoShape 24"/>
        <xdr:cNvSpPr>
          <a:spLocks noChangeArrowheads="1"/>
        </xdr:cNvSpPr>
      </xdr:nvSpPr>
      <xdr:spPr bwMode="auto">
        <a:xfrm>
          <a:off x="7231946" y="7131049"/>
          <a:ext cx="3739444" cy="1227667"/>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a:t>
          </a:r>
          <a:r>
            <a:rPr lang="zh-CN" altLang="en-US" sz="1100" b="0" i="0" baseline="0">
              <a:effectLst/>
              <a:latin typeface="+mn-lt"/>
              <a:ea typeface="+mn-ea"/>
              <a:cs typeface="+mn-cs"/>
            </a:rPr>
            <a:t>记入与物质名对称的</a:t>
          </a:r>
          <a:r>
            <a:rPr lang="en-US" altLang="ja-JP" sz="1100" b="0" i="0" baseline="0">
              <a:effectLst/>
              <a:latin typeface="+mn-lt"/>
              <a:ea typeface="+mn-ea"/>
              <a:cs typeface="+mn-cs"/>
            </a:rPr>
            <a:t>CAS</a:t>
          </a:r>
          <a:r>
            <a:rPr lang="zh-CN" altLang="en-US" sz="1100" b="0" i="0" baseline="0">
              <a:effectLst/>
              <a:latin typeface="+mn-lt"/>
              <a:ea typeface="+mn-ea"/>
              <a:cs typeface="+mn-cs"/>
            </a:rPr>
            <a:t>编号</a:t>
          </a:r>
          <a:r>
            <a:rPr lang="ja-JP" altLang="ja-JP" sz="1100" b="0" i="0" baseline="0">
              <a:effectLst/>
              <a:latin typeface="+mn-lt"/>
              <a:ea typeface="+mn-ea"/>
              <a:cs typeface="+mn-cs"/>
            </a:rPr>
            <a:t>。</a:t>
          </a:r>
          <a:endParaRPr lang="ja-JP" altLang="ja-JP">
            <a:effectLst/>
          </a:endParaRPr>
        </a:p>
        <a:p>
          <a:pPr rtl="0"/>
          <a:r>
            <a:rPr lang="ja-JP" altLang="en-US" sz="1100" b="0" i="0" baseline="0">
              <a:effectLst/>
              <a:latin typeface="+mn-lt"/>
              <a:ea typeface="+mn-ea"/>
              <a:cs typeface="+mn-cs"/>
            </a:rPr>
            <a:t>　</a:t>
          </a:r>
          <a:r>
            <a:rPr lang="zh-CN" altLang="en-US" sz="1100" b="0" i="0" baseline="0">
              <a:effectLst/>
              <a:latin typeface="+mn-lt"/>
              <a:ea typeface="+mn-ea"/>
              <a:cs typeface="+mn-cs"/>
            </a:rPr>
            <a:t>如果包含社外秘的内容</a:t>
          </a:r>
          <a:r>
            <a:rPr lang="ja-JP" altLang="ja-JP" sz="1100" b="0" i="0" baseline="0">
              <a:effectLst/>
              <a:latin typeface="+mn-lt"/>
              <a:ea typeface="+mn-ea"/>
              <a:cs typeface="+mn-cs"/>
            </a:rPr>
            <a:t>、</a:t>
          </a:r>
          <a:r>
            <a:rPr lang="ja-JP" altLang="en-US" sz="1100" b="0" i="0" baseline="0">
              <a:effectLst/>
              <a:latin typeface="+mn-lt"/>
              <a:ea typeface="+mn-ea"/>
              <a:cs typeface="+mn-cs"/>
            </a:rPr>
            <a:t>物质名称</a:t>
          </a:r>
          <a:r>
            <a:rPr lang="zh-CN" altLang="en-US" sz="1100" b="0" i="0" baseline="0">
              <a:effectLst/>
              <a:latin typeface="+mn-lt"/>
              <a:ea typeface="+mn-ea"/>
              <a:cs typeface="+mn-cs"/>
            </a:rPr>
            <a:t>栏记入</a:t>
          </a:r>
          <a:r>
            <a:rPr lang="ja-JP" altLang="en-US" sz="1100" b="0" i="0" baseline="0">
              <a:effectLst/>
              <a:latin typeface="+mn-lt"/>
              <a:ea typeface="+mn-ea"/>
              <a:cs typeface="+mn-cs"/>
            </a:rPr>
            <a:t>　</a:t>
          </a:r>
          <a:r>
            <a:rPr lang="ja-JP" altLang="ja-JP" sz="1100" b="0" i="0" baseline="0">
              <a:effectLst/>
              <a:latin typeface="+mn-lt"/>
              <a:ea typeface="+mn-ea"/>
              <a:cs typeface="+mn-cs"/>
            </a:rPr>
            <a:t>”社外秘”。</a:t>
          </a:r>
          <a:endParaRPr lang="en-US" altLang="ja-JP" sz="1100" b="0" i="0" baseline="0">
            <a:effectLst/>
            <a:latin typeface="+mn-lt"/>
            <a:ea typeface="+mn-ea"/>
            <a:cs typeface="+mn-cs"/>
          </a:endParaRPr>
        </a:p>
        <a:p>
          <a:pPr rtl="0"/>
          <a:r>
            <a:rPr lang="ja-JP" altLang="en-US" sz="1100" b="0" i="0" baseline="0">
              <a:effectLst/>
              <a:latin typeface="+mn-lt"/>
              <a:ea typeface="+mn-ea"/>
              <a:cs typeface="+mn-cs"/>
            </a:rPr>
            <a:t>・</a:t>
          </a:r>
          <a:r>
            <a:rPr lang="zh-CN" altLang="en-US" sz="1100" b="0" i="0" baseline="0">
              <a:effectLst/>
              <a:latin typeface="+mn-lt"/>
              <a:ea typeface="+mn-ea"/>
              <a:cs typeface="+mn-cs"/>
            </a:rPr>
            <a:t>记入每个部位的物质的含有率</a:t>
          </a:r>
          <a:r>
            <a:rPr lang="ja-JP" altLang="ja-JP" sz="1100" b="0" i="0" baseline="0">
              <a:effectLst/>
              <a:latin typeface="+mn-lt"/>
              <a:ea typeface="+mn-ea"/>
              <a:cs typeface="+mn-cs"/>
            </a:rPr>
            <a:t>。</a:t>
          </a:r>
          <a:endParaRPr lang="ja-JP" altLang="ja-JP">
            <a:effectLst/>
          </a:endParaRPr>
        </a:p>
        <a:p>
          <a:pPr rtl="0"/>
          <a:r>
            <a:rPr lang="ja-JP" altLang="ja-JP" sz="1100" b="0" i="0" baseline="0">
              <a:effectLst/>
              <a:latin typeface="+mn-lt"/>
              <a:ea typeface="+mn-ea"/>
              <a:cs typeface="+mn-cs"/>
            </a:rPr>
            <a:t>（</a:t>
          </a:r>
          <a:r>
            <a:rPr lang="zh-CN" altLang="en-US" sz="1100" b="0" i="0" baseline="0">
              <a:effectLst/>
              <a:latin typeface="+mn-lt"/>
              <a:ea typeface="+mn-ea"/>
              <a:cs typeface="+mn-cs"/>
            </a:rPr>
            <a:t>每个部位合计含有率必须是</a:t>
          </a:r>
          <a:r>
            <a:rPr lang="en-US" altLang="zh-CN" sz="1100" b="0" i="0" baseline="0">
              <a:effectLst/>
              <a:latin typeface="+mn-lt"/>
              <a:ea typeface="+mn-ea"/>
              <a:cs typeface="+mn-cs"/>
            </a:rPr>
            <a:t>1</a:t>
          </a:r>
          <a:r>
            <a:rPr lang="en-US" altLang="ja-JP" sz="1100" b="0" i="0" baseline="0">
              <a:effectLst/>
              <a:latin typeface="+mn-lt"/>
              <a:ea typeface="+mn-ea"/>
              <a:cs typeface="+mn-cs"/>
            </a:rPr>
            <a:t>00%</a:t>
          </a:r>
          <a:r>
            <a:rPr lang="ja-JP" altLang="ja-JP" sz="1100" b="0" i="0" baseline="0">
              <a:effectLst/>
              <a:latin typeface="+mn-lt"/>
              <a:ea typeface="+mn-ea"/>
              <a:cs typeface="+mn-cs"/>
            </a:rPr>
            <a:t>。）</a:t>
          </a:r>
          <a:endParaRPr lang="ja-JP" altLang="ja-JP">
            <a:effectLst/>
          </a:endParaRPr>
        </a:p>
      </xdr:txBody>
    </xdr:sp>
    <xdr:clientData/>
  </xdr:oneCellAnchor>
  <xdr:twoCellAnchor>
    <xdr:from>
      <xdr:col>13</xdr:col>
      <xdr:colOff>934357</xdr:colOff>
      <xdr:row>103</xdr:row>
      <xdr:rowOff>28222</xdr:rowOff>
    </xdr:from>
    <xdr:to>
      <xdr:col>16</xdr:col>
      <xdr:colOff>98776</xdr:colOff>
      <xdr:row>108</xdr:row>
      <xdr:rowOff>72571</xdr:rowOff>
    </xdr:to>
    <xdr:sp macro="" textlink="">
      <xdr:nvSpPr>
        <xdr:cNvPr id="52" name="Line 23"/>
        <xdr:cNvSpPr>
          <a:spLocks noChangeShapeType="1"/>
        </xdr:cNvSpPr>
      </xdr:nvSpPr>
      <xdr:spPr bwMode="auto">
        <a:xfrm flipV="1">
          <a:off x="8109857" y="10334272"/>
          <a:ext cx="1939369" cy="1123849"/>
        </a:xfrm>
        <a:prstGeom prst="line">
          <a:avLst/>
        </a:prstGeom>
        <a:noFill/>
        <a:ln w="15875">
          <a:solidFill>
            <a:srgbClr val="FF6600"/>
          </a:solidFill>
          <a:round/>
          <a:headEnd/>
          <a:tailEnd type="triangle" w="med" len="med"/>
        </a:ln>
      </xdr:spPr>
    </xdr:sp>
    <xdr:clientData/>
  </xdr:twoCellAnchor>
  <xdr:twoCellAnchor>
    <xdr:from>
      <xdr:col>12</xdr:col>
      <xdr:colOff>218722</xdr:colOff>
      <xdr:row>103</xdr:row>
      <xdr:rowOff>63500</xdr:rowOff>
    </xdr:from>
    <xdr:to>
      <xdr:col>13</xdr:col>
      <xdr:colOff>108857</xdr:colOff>
      <xdr:row>108</xdr:row>
      <xdr:rowOff>36285</xdr:rowOff>
    </xdr:to>
    <xdr:sp macro="" textlink="">
      <xdr:nvSpPr>
        <xdr:cNvPr id="53" name="Line 23"/>
        <xdr:cNvSpPr>
          <a:spLocks noChangeShapeType="1"/>
        </xdr:cNvSpPr>
      </xdr:nvSpPr>
      <xdr:spPr bwMode="auto">
        <a:xfrm flipH="1" flipV="1">
          <a:off x="6790972" y="10369550"/>
          <a:ext cx="493385" cy="1052285"/>
        </a:xfrm>
        <a:prstGeom prst="line">
          <a:avLst/>
        </a:prstGeom>
        <a:noFill/>
        <a:ln w="15875">
          <a:solidFill>
            <a:srgbClr val="FF6600"/>
          </a:solidFill>
          <a:round/>
          <a:headEnd/>
          <a:tailEnd type="triangle" w="med" len="med"/>
        </a:ln>
      </xdr:spPr>
    </xdr:sp>
    <xdr:clientData/>
  </xdr:twoCellAnchor>
  <xdr:twoCellAnchor>
    <xdr:from>
      <xdr:col>2</xdr:col>
      <xdr:colOff>112889</xdr:colOff>
      <xdr:row>23</xdr:row>
      <xdr:rowOff>155222</xdr:rowOff>
    </xdr:from>
    <xdr:to>
      <xdr:col>3</xdr:col>
      <xdr:colOff>239889</xdr:colOff>
      <xdr:row>24</xdr:row>
      <xdr:rowOff>84667</xdr:rowOff>
    </xdr:to>
    <xdr:sp macro="" textlink="">
      <xdr:nvSpPr>
        <xdr:cNvPr id="54" name="Line 23"/>
        <xdr:cNvSpPr>
          <a:spLocks noChangeShapeType="1"/>
        </xdr:cNvSpPr>
      </xdr:nvSpPr>
      <xdr:spPr bwMode="auto">
        <a:xfrm flipV="1">
          <a:off x="1420989" y="4638322"/>
          <a:ext cx="730250" cy="170745"/>
        </a:xfrm>
        <a:prstGeom prst="line">
          <a:avLst/>
        </a:prstGeom>
        <a:noFill/>
        <a:ln w="15875">
          <a:solidFill>
            <a:schemeClr val="accent6">
              <a:lumMod val="75000"/>
            </a:schemeClr>
          </a:solidFill>
          <a:round/>
          <a:headEnd/>
          <a:tailEnd type="triangle" w="med" len="med"/>
        </a:ln>
      </xdr:spPr>
    </xdr:sp>
    <xdr:clientData/>
  </xdr:twoCellAnchor>
  <xdr:oneCellAnchor>
    <xdr:from>
      <xdr:col>0</xdr:col>
      <xdr:colOff>188688</xdr:colOff>
      <xdr:row>24</xdr:row>
      <xdr:rowOff>42334</xdr:rowOff>
    </xdr:from>
    <xdr:ext cx="2499479" cy="282221"/>
    <xdr:sp macro="" textlink="">
      <xdr:nvSpPr>
        <xdr:cNvPr id="55" name="AutoShape 24"/>
        <xdr:cNvSpPr>
          <a:spLocks noChangeArrowheads="1"/>
        </xdr:cNvSpPr>
      </xdr:nvSpPr>
      <xdr:spPr bwMode="auto">
        <a:xfrm>
          <a:off x="188688" y="4766734"/>
          <a:ext cx="2499479" cy="28222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zh-CN" altLang="en-US">
              <a:effectLst/>
              <a:latin typeface="宋体" panose="02010600030101010101" pitchFamily="2" charset="-122"/>
              <a:ea typeface="宋体" panose="02010600030101010101" pitchFamily="2" charset="-122"/>
            </a:rPr>
            <a:t>输入产品重量</a:t>
          </a:r>
          <a:r>
            <a:rPr lang="ja-JP" altLang="en-US">
              <a:effectLst/>
            </a:rPr>
            <a:t>。</a:t>
          </a:r>
          <a:endParaRPr lang="ja-JP" altLang="ja-JP">
            <a:effectLst/>
          </a:endParaRPr>
        </a:p>
      </xdr:txBody>
    </xdr:sp>
    <xdr:clientData/>
  </xdr:oneCellAnchor>
  <xdr:oneCellAnchor>
    <xdr:from>
      <xdr:col>8</xdr:col>
      <xdr:colOff>384429</xdr:colOff>
      <xdr:row>107</xdr:row>
      <xdr:rowOff>111276</xdr:rowOff>
    </xdr:from>
    <xdr:ext cx="3554586" cy="506590"/>
    <xdr:sp macro="" textlink="">
      <xdr:nvSpPr>
        <xdr:cNvPr id="56" name="AutoShape 24"/>
        <xdr:cNvSpPr>
          <a:spLocks noChangeArrowheads="1"/>
        </xdr:cNvSpPr>
      </xdr:nvSpPr>
      <xdr:spPr bwMode="auto">
        <a:xfrm>
          <a:off x="5470779" y="11293626"/>
          <a:ext cx="3554586" cy="506590"/>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zh-CN" altLang="en-US" sz="1100" b="0" i="0" baseline="0">
              <a:effectLst/>
              <a:latin typeface="+mn-lt"/>
              <a:ea typeface="+mn-ea"/>
              <a:cs typeface="+mn-cs"/>
            </a:rPr>
            <a:t>最后确认</a:t>
          </a:r>
          <a:r>
            <a:rPr lang="en-US" altLang="zh-CN" sz="1100" b="0" i="0" baseline="0">
              <a:effectLst/>
              <a:latin typeface="+mn-lt"/>
              <a:ea typeface="+mn-ea"/>
              <a:cs typeface="+mn-cs"/>
            </a:rPr>
            <a:t>3</a:t>
          </a:r>
          <a:r>
            <a:rPr lang="zh-CN" altLang="en-US" sz="1100" b="0" i="0" baseline="0">
              <a:effectLst/>
              <a:latin typeface="+mn-lt"/>
              <a:ea typeface="+mn-ea"/>
              <a:cs typeface="+mn-cs"/>
            </a:rPr>
            <a:t>个地方的数值相同</a:t>
          </a:r>
          <a:r>
            <a:rPr lang="ja-JP" altLang="zh-CN" sz="1100" b="0" i="0" baseline="0">
              <a:effectLst/>
              <a:latin typeface="+mn-lt"/>
              <a:ea typeface="+mn-ea"/>
              <a:cs typeface="+mn-cs"/>
            </a:rPr>
            <a:t>。</a:t>
          </a:r>
          <a:endParaRPr lang="en-US" altLang="ja-JP" sz="1100" b="0" i="0" baseline="0">
            <a:effectLst/>
            <a:latin typeface="+mn-lt"/>
            <a:ea typeface="+mn-ea"/>
            <a:cs typeface="+mn-cs"/>
          </a:endParaRPr>
        </a:p>
      </xdr:txBody>
    </xdr:sp>
    <xdr:clientData/>
  </xdr:oneCellAnchor>
  <xdr:oneCellAnchor>
    <xdr:from>
      <xdr:col>17</xdr:col>
      <xdr:colOff>324760</xdr:colOff>
      <xdr:row>20</xdr:row>
      <xdr:rowOff>108857</xdr:rowOff>
    </xdr:from>
    <xdr:ext cx="3267526" cy="544286"/>
    <xdr:sp macro="" textlink="">
      <xdr:nvSpPr>
        <xdr:cNvPr id="57" name="AutoShape 24"/>
        <xdr:cNvSpPr>
          <a:spLocks noChangeArrowheads="1"/>
        </xdr:cNvSpPr>
      </xdr:nvSpPr>
      <xdr:spPr bwMode="auto">
        <a:xfrm>
          <a:off x="10911117" y="4327071"/>
          <a:ext cx="3267526" cy="544286"/>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ja-JP" altLang="en-US">
              <a:effectLst/>
            </a:rPr>
            <a:t>请填写对美蓓亚三美株式会社或</a:t>
          </a:r>
          <a:endParaRPr lang="en-US" altLang="ja-JP">
            <a:effectLst/>
          </a:endParaRPr>
        </a:p>
        <a:p>
          <a:pPr rtl="0"/>
          <a:r>
            <a:rPr lang="ja-JP" altLang="en-US">
              <a:effectLst/>
            </a:rPr>
            <a:t>三美电机株式会社了解范围的品名、品番、图番等。</a:t>
          </a:r>
        </a:p>
      </xdr:txBody>
    </xdr:sp>
    <xdr:clientData/>
  </xdr:oneCellAnchor>
  <xdr:oneCellAnchor>
    <xdr:from>
      <xdr:col>17</xdr:col>
      <xdr:colOff>504372</xdr:colOff>
      <xdr:row>17</xdr:row>
      <xdr:rowOff>48079</xdr:rowOff>
    </xdr:from>
    <xdr:ext cx="2280557" cy="568779"/>
    <xdr:sp macro="" textlink="">
      <xdr:nvSpPr>
        <xdr:cNvPr id="58" name="AutoShape 24"/>
        <xdr:cNvSpPr>
          <a:spLocks noChangeArrowheads="1"/>
        </xdr:cNvSpPr>
      </xdr:nvSpPr>
      <xdr:spPr bwMode="auto">
        <a:xfrm>
          <a:off x="11090729" y="3712936"/>
          <a:ext cx="2280557" cy="568779"/>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ja-JP" altLang="en-US">
              <a:effectLst/>
            </a:rPr>
            <a:t>请填写客户的品名、品番、图番。</a:t>
          </a:r>
          <a:endParaRPr lang="en-US" altLang="ja-JP">
            <a:effectLst/>
          </a:endParaRPr>
        </a:p>
        <a:p>
          <a:pPr rtl="0"/>
          <a:r>
            <a:rPr lang="ja-JP" altLang="en-US">
              <a:effectLst/>
            </a:rPr>
            <a:t>代理店的话请填写商品的厂家。</a:t>
          </a:r>
        </a:p>
      </xdr:txBody>
    </xdr:sp>
    <xdr:clientData/>
  </xdr:oneCellAnchor>
  <xdr:oneCellAnchor>
    <xdr:from>
      <xdr:col>0</xdr:col>
      <xdr:colOff>63499</xdr:colOff>
      <xdr:row>0</xdr:row>
      <xdr:rowOff>108857</xdr:rowOff>
    </xdr:from>
    <xdr:ext cx="7384143" cy="390070"/>
    <xdr:sp macro="" textlink="">
      <xdr:nvSpPr>
        <xdr:cNvPr id="59" name="AutoShape 24"/>
        <xdr:cNvSpPr>
          <a:spLocks noChangeArrowheads="1"/>
        </xdr:cNvSpPr>
      </xdr:nvSpPr>
      <xdr:spPr bwMode="auto">
        <a:xfrm>
          <a:off x="63499" y="108857"/>
          <a:ext cx="7384143" cy="390070"/>
        </a:xfrm>
        <a:prstGeom prst="roundRect">
          <a:avLst>
            <a:gd name="adj" fmla="val 16667"/>
          </a:avLst>
        </a:prstGeom>
        <a:solidFill>
          <a:schemeClr val="accent5">
            <a:lumMod val="40000"/>
            <a:lumOff val="6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a:effectLst/>
            </a:rPr>
            <a:t>报告部位</a:t>
          </a:r>
          <a:r>
            <a:rPr lang="en-US" altLang="ja-JP">
              <a:effectLst/>
            </a:rPr>
            <a:t>20</a:t>
          </a:r>
          <a:r>
            <a:rPr lang="ja-JP" altLang="en-US">
              <a:effectLst/>
            </a:rPr>
            <a:t>以下的请使用”</a:t>
          </a:r>
          <a:r>
            <a:rPr lang="en-US" altLang="ja-JP">
              <a:effectLst/>
            </a:rPr>
            <a:t>Survey Report for 20 Regions”</a:t>
          </a:r>
          <a:r>
            <a:rPr lang="ja-JP" altLang="en-US">
              <a:effectLst/>
            </a:rPr>
            <a:t>的工作表。超过</a:t>
          </a:r>
          <a:r>
            <a:rPr lang="en-US" altLang="ja-JP">
              <a:effectLst/>
            </a:rPr>
            <a:t>20</a:t>
          </a:r>
          <a:r>
            <a:rPr lang="ja-JP" altLang="en-US">
              <a:effectLst/>
            </a:rPr>
            <a:t>的请使用”</a:t>
          </a:r>
          <a:r>
            <a:rPr lang="en-US" altLang="ja-JP">
              <a:effectLst/>
            </a:rPr>
            <a:t>Survey Report for 60 Regions””</a:t>
          </a:r>
          <a:endParaRPr lang="ja-JP" altLang="ja-JP">
            <a:effectLst/>
          </a:endParaRPr>
        </a:p>
      </xdr:txBody>
    </xdr:sp>
    <xdr:clientData/>
  </xdr:oneCellAnchor>
  <xdr:oneCellAnchor>
    <xdr:from>
      <xdr:col>13</xdr:col>
      <xdr:colOff>351973</xdr:colOff>
      <xdr:row>97</xdr:row>
      <xdr:rowOff>81844</xdr:rowOff>
    </xdr:from>
    <xdr:ext cx="2324100" cy="574324"/>
    <xdr:sp macro="" textlink="">
      <xdr:nvSpPr>
        <xdr:cNvPr id="37" name="AutoShape 24"/>
        <xdr:cNvSpPr>
          <a:spLocks noChangeArrowheads="1"/>
        </xdr:cNvSpPr>
      </xdr:nvSpPr>
      <xdr:spPr bwMode="auto">
        <a:xfrm>
          <a:off x="7545616" y="9434487"/>
          <a:ext cx="2324100" cy="574324"/>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b="0" i="0" baseline="0">
              <a:effectLst/>
              <a:latin typeface="+mn-lt"/>
              <a:ea typeface="+mn-ea"/>
              <a:cs typeface="+mn-cs"/>
            </a:rPr>
            <a:t>・</a:t>
          </a:r>
          <a:r>
            <a:rPr lang="zh-CN" altLang="en-US" sz="1100" b="0" i="0" baseline="0">
              <a:effectLst/>
              <a:latin typeface="+mn-lt"/>
              <a:ea typeface="+mn-ea"/>
              <a:cs typeface="+mn-cs"/>
            </a:rPr>
            <a:t>自动计算并记载</a:t>
          </a:r>
          <a:r>
            <a:rPr lang="ja-JP" altLang="en-US" sz="1100" b="0" i="0" baseline="0">
              <a:effectLst/>
              <a:latin typeface="+mn-lt"/>
              <a:ea typeface="+mn-ea"/>
              <a:cs typeface="+mn-cs"/>
            </a:rPr>
            <a:t>。</a:t>
          </a:r>
          <a:endParaRPr lang="en-US" altLang="ja-JP" sz="1100" b="0" i="0" baseline="0">
            <a:effectLst/>
            <a:latin typeface="+mn-lt"/>
            <a:ea typeface="+mn-ea"/>
            <a:cs typeface="+mn-cs"/>
          </a:endParaRPr>
        </a:p>
        <a:p>
          <a:pPr rtl="0"/>
          <a:r>
            <a:rPr lang="ja-JP" altLang="en-US" sz="1100" b="0" i="0" baseline="0">
              <a:effectLst/>
              <a:latin typeface="+mn-lt"/>
              <a:ea typeface="+mn-ea"/>
              <a:cs typeface="+mn-cs"/>
            </a:rPr>
            <a:t>・</a:t>
          </a:r>
          <a:r>
            <a:rPr lang="zh-CN" altLang="en-US" sz="1100" b="0" i="0" baseline="0">
              <a:effectLst/>
              <a:latin typeface="+mn-lt"/>
              <a:ea typeface="+mn-ea"/>
              <a:cs typeface="+mn-cs"/>
            </a:rPr>
            <a:t>输入不可</a:t>
          </a:r>
          <a:r>
            <a:rPr lang="ja-JP" altLang="en-US" sz="1100" b="0" i="0" baseline="0">
              <a:effectLst/>
              <a:latin typeface="+mn-lt"/>
              <a:ea typeface="+mn-ea"/>
              <a:cs typeface="+mn-cs"/>
            </a:rPr>
            <a:t>。</a:t>
          </a:r>
          <a:endParaRPr lang="en-US" altLang="ja-JP" sz="1100" b="0" i="0" baseline="0">
            <a:effectLst/>
            <a:latin typeface="+mn-lt"/>
            <a:ea typeface="+mn-ea"/>
            <a:cs typeface="+mn-cs"/>
          </a:endParaRPr>
        </a:p>
      </xdr:txBody>
    </xdr:sp>
    <xdr:clientData/>
  </xdr:oneCellAnchor>
  <xdr:oneCellAnchor>
    <xdr:from>
      <xdr:col>17</xdr:col>
      <xdr:colOff>437698</xdr:colOff>
      <xdr:row>15</xdr:row>
      <xdr:rowOff>64858</xdr:rowOff>
    </xdr:from>
    <xdr:ext cx="2755446" cy="361498"/>
    <xdr:sp macro="" textlink="">
      <xdr:nvSpPr>
        <xdr:cNvPr id="8" name="AutoShape 24"/>
        <xdr:cNvSpPr>
          <a:spLocks noChangeArrowheads="1"/>
        </xdr:cNvSpPr>
      </xdr:nvSpPr>
      <xdr:spPr bwMode="auto">
        <a:xfrm>
          <a:off x="11024055" y="3239858"/>
          <a:ext cx="2755446" cy="361498"/>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ja-JP" altLang="en-US" sz="1100" b="0" i="0" baseline="0">
              <a:effectLst/>
              <a:latin typeface="+mn-lt"/>
              <a:ea typeface="+mn-ea"/>
              <a:cs typeface="+mn-cs"/>
            </a:rPr>
            <a:t>请盖印章（公章或负责人印章）或签名</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j3070\procurement\MyDocumentsOffice\CAT-6F\COST\&#26368;&#26032;&#31038;&#32102;-H14-11&#26376;%202&#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j3070\procurement\Documents%20and%20Settings\hm39613\My%20Documents\&#20316;&#26989;&#35352;&#37682;\2005&#24180;4&#26376;\hushiyou_houkoku_j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荷実績"/>
      <sheetName val="出荷実績入力画面"/>
      <sheetName val="出荷実績2"/>
      <sheetName val="社給実績入力画面"/>
      <sheetName val="Fﾒｶ"/>
      <sheetName val="F,Kｴﾚｷ"/>
      <sheetName val="Kittyﾒｶ"/>
      <sheetName val="Kittyｴﾚｷ"/>
      <sheetName val="6Fﾒｶ,Kitty-4ｴﾚｷ"/>
      <sheetName val="Kitty-4,6Fｴﾚｷ"/>
      <sheetName val="4Gﾒｶ"/>
      <sheetName val="4Gｴﾚｷ"/>
      <sheetName val="4F集計表"/>
      <sheetName val="5F集計表"/>
      <sheetName val="Kitty集計表"/>
      <sheetName val="6F集計表"/>
      <sheetName val="4G集計表"/>
      <sheetName val="5G集計表"/>
      <sheetName val="5FH集計表"/>
      <sheetName val="Kitty-4集計表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別紙 不使用証明書 (書式)"/>
      <sheetName val="② 別紙 不使用証明書 (記入例)"/>
      <sheetName val="③ 別紙 含有報告書 (書式)"/>
      <sheetName val="④ 別紙 含有報告書 (記入例)"/>
      <sheetName val="ﾄﾞﾛｯﾌﾟﾀﾞｳﾝ"/>
      <sheetName val="ﾄﾞﾛｯﾌﾟﾀﾞｳﾝ2"/>
    </sheetNames>
    <sheetDataSet>
      <sheetData sheetId="0" refreshError="1"/>
      <sheetData sheetId="1" refreshError="1"/>
      <sheetData sheetId="2" refreshError="1"/>
      <sheetData sheetId="3" refreshError="1"/>
      <sheetData sheetId="4">
        <row r="1">
          <cell r="A1" t="str">
            <v>ﾐﾈﾍﾞｱ株式会社</v>
          </cell>
          <cell r="B1" t="str">
            <v>ﾐﾈﾍﾞｱｴﾚｸﾄﾛﾆｸｽ株式会社</v>
          </cell>
          <cell r="C1" t="str">
            <v>ｴﾇ･ｴﾑ･ﾋﾞｰ電子精工株式会社</v>
          </cell>
          <cell r="D1" t="str">
            <v>ﾐﾈﾍﾞｱ･松下ﾓｰﾀ株式会社</v>
          </cell>
        </row>
      </sheetData>
      <sheetData sheetId="5">
        <row r="2">
          <cell r="A2" t="str">
            <v>ｶﾄﾞﾐｳﾑ及びその化合物</v>
          </cell>
        </row>
        <row r="3">
          <cell r="A3" t="str">
            <v>六価ｸﾛﾑ化合物</v>
          </cell>
        </row>
        <row r="4">
          <cell r="A4" t="str">
            <v>鉛及びその化合物</v>
          </cell>
        </row>
        <row r="5">
          <cell r="A5" t="str">
            <v>水銀及びその化合物</v>
          </cell>
        </row>
        <row r="6">
          <cell r="A6" t="str">
            <v>ﾋﾞｽ･ﾄﾘﾌﾞﾁﾙｽｽﾞ･ｵｷｼﾄﾞ･TBTO</v>
          </cell>
        </row>
        <row r="7">
          <cell r="A7" t="str">
            <v>ﾄﾘﾌﾞﾁﾙｽｽﾞ類･TBT類･ﾄﾘﾌｪﾆﾙｽｽﾞ類･TPT類</v>
          </cell>
        </row>
        <row r="8">
          <cell r="A8" t="str">
            <v>ﾎﾟﾘ臭化ﾋﾞﾌｪﾆﾙ･PBB</v>
          </cell>
        </row>
        <row r="9">
          <cell r="A9" t="str">
            <v>ﾎﾟﾘ臭化ｼﾞﾌｪﾆﾙｴｰﾃﾙ･PBDE</v>
          </cell>
        </row>
        <row r="10">
          <cell r="A10" t="str">
            <v>ﾎﾟﾘ塩化ﾋﾞﾌｪﾆﾙ･PCB類</v>
          </cell>
        </row>
        <row r="11">
          <cell r="A11" t="str">
            <v>ﾎﾟﾘ塩化ﾅﾌﾀﾚﾝ･PCN類</v>
          </cell>
        </row>
        <row r="12">
          <cell r="A12" t="str">
            <v>短鎖型塩化ﾊﾟﾗﾌｨﾝ</v>
          </cell>
        </row>
        <row r="13">
          <cell r="A13" t="str">
            <v>ｱｽﾍﾞｽﾄ･石綿</v>
          </cell>
        </row>
        <row r="14">
          <cell r="A14" t="str">
            <v>ｱｿﾞ染料･顔料</v>
          </cell>
        </row>
        <row r="15">
          <cell r="A15" t="str">
            <v>ｵｿﾞﾝ層破壊物質</v>
          </cell>
        </row>
        <row r="16">
          <cell r="A16" t="str">
            <v>放射性物質</v>
          </cell>
        </row>
        <row r="17">
          <cell r="A17" t="str">
            <v>ﾎﾙﾑｱﾙﾃﾞﾋﾄﾞ</v>
          </cell>
        </row>
        <row r="18">
          <cell r="A18" t="str">
            <v>ﾀﾞｲｵｷｼﾝ類</v>
          </cell>
        </row>
        <row r="19">
          <cell r="A19" t="str">
            <v>ﾎﾟﾘ塩化ﾋﾞﾆﾙ及びその混合物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D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D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11"/>
  <sheetViews>
    <sheetView showGridLines="0" tabSelected="1" zoomScale="80" zoomScaleNormal="80" workbookViewId="0">
      <selection activeCell="B3" sqref="B3:J3"/>
    </sheetView>
  </sheetViews>
  <sheetFormatPr defaultColWidth="9" defaultRowHeight="15.6"/>
  <cols>
    <col min="1" max="1" width="3.109375" style="151" customWidth="1"/>
    <col min="2" max="2" width="15.6640625" style="151" customWidth="1"/>
    <col min="3" max="3" width="8.6640625" style="151" customWidth="1"/>
    <col min="4" max="4" width="14.6640625" style="151" customWidth="1"/>
    <col min="5" max="5" width="8.6640625" style="151" customWidth="1"/>
    <col min="6" max="6" width="0.88671875" style="151" customWidth="1"/>
    <col min="7" max="7" width="8.6640625" style="151" customWidth="1"/>
    <col min="8" max="9" width="12.6640625" style="151" customWidth="1"/>
    <col min="10" max="10" width="3.6640625" style="151" customWidth="1"/>
    <col min="11" max="11" width="0.88671875" style="151" customWidth="1"/>
    <col min="12" max="12" width="4.109375" style="151" customWidth="1"/>
    <col min="13" max="13" width="8.6640625" style="151" customWidth="1"/>
    <col min="14" max="14" width="22.44140625" style="151" customWidth="1"/>
    <col min="15" max="17" width="8.6640625" style="151" customWidth="1"/>
    <col min="18" max="18" width="11.88671875" style="151" customWidth="1"/>
    <col min="19" max="20" width="10.6640625" style="151" customWidth="1"/>
    <col min="21" max="21" width="8.6640625" style="151" customWidth="1"/>
    <col min="22" max="22" width="0" style="151" hidden="1" customWidth="1"/>
    <col min="23" max="23" width="9.6640625" style="151" hidden="1" customWidth="1"/>
    <col min="24" max="16384" width="9" style="151"/>
  </cols>
  <sheetData>
    <row r="1" spans="1:44" s="117" customFormat="1" ht="6.75" customHeight="1"/>
    <row r="2" spans="1:44" s="117" customFormat="1" ht="17.25" customHeight="1" thickBot="1">
      <c r="B2" s="117" t="s">
        <v>18</v>
      </c>
    </row>
    <row r="3" spans="1:44" s="117" customFormat="1" ht="16.2" thickBot="1">
      <c r="B3" s="300" t="s">
        <v>62</v>
      </c>
      <c r="C3" s="301"/>
      <c r="D3" s="301"/>
      <c r="E3" s="301"/>
      <c r="F3" s="301"/>
      <c r="G3" s="301"/>
      <c r="H3" s="301"/>
      <c r="I3" s="301"/>
      <c r="J3" s="302"/>
      <c r="K3" s="43"/>
      <c r="L3" s="43"/>
      <c r="M3" s="43"/>
      <c r="W3" s="117" t="s">
        <v>13</v>
      </c>
    </row>
    <row r="4" spans="1:44" s="117" customFormat="1" ht="7.5" customHeight="1">
      <c r="K4" s="43"/>
      <c r="L4" s="43"/>
      <c r="M4" s="43"/>
    </row>
    <row r="5" spans="1:44" s="117" customFormat="1" ht="27.75" customHeight="1">
      <c r="B5" s="303" t="str">
        <f>IF(B3="English","Survey Report of Chemical Substance in Products",IF(B3="中国語","产品含有化学物质调查表","製品含有化学物質調査表"))</f>
        <v>製品含有化学物質調査表</v>
      </c>
      <c r="C5" s="304"/>
      <c r="D5" s="304"/>
      <c r="E5" s="304"/>
      <c r="F5" s="304"/>
      <c r="G5" s="304"/>
      <c r="H5" s="304"/>
      <c r="I5" s="304"/>
      <c r="J5" s="304"/>
      <c r="K5" s="304"/>
      <c r="L5" s="304"/>
      <c r="M5" s="304"/>
      <c r="N5" s="118"/>
      <c r="O5" s="118"/>
      <c r="P5" s="118"/>
      <c r="Q5" s="119"/>
      <c r="R5" s="118"/>
      <c r="S5" s="120"/>
      <c r="T5" s="118"/>
      <c r="U5" s="118"/>
      <c r="V5" s="118"/>
      <c r="W5" s="117" t="s">
        <v>14</v>
      </c>
      <c r="X5" s="118"/>
      <c r="Y5" s="118"/>
      <c r="Z5" s="118"/>
      <c r="AA5" s="119"/>
      <c r="AF5" s="121" t="s">
        <v>0</v>
      </c>
      <c r="AG5" s="122"/>
    </row>
    <row r="6" spans="1:44" s="117" customFormat="1" ht="19.2" customHeight="1">
      <c r="B6" s="118"/>
      <c r="C6" s="118"/>
      <c r="D6" s="118"/>
      <c r="E6" s="118"/>
      <c r="F6" s="118"/>
      <c r="G6" s="118"/>
      <c r="H6" s="118"/>
      <c r="I6" s="118"/>
      <c r="J6" s="118"/>
      <c r="K6" s="118"/>
      <c r="L6" s="118"/>
      <c r="M6" s="118"/>
      <c r="N6" s="118"/>
      <c r="O6" s="305" t="str">
        <f>IF(B3="English","Document No.:",IF(B3="中国語","资料 No.:","資料No.:"))</f>
        <v>資料No.:</v>
      </c>
      <c r="P6" s="305"/>
      <c r="Q6" s="305"/>
      <c r="R6" s="213"/>
      <c r="S6" s="214"/>
      <c r="T6" s="213"/>
      <c r="U6" s="118"/>
      <c r="V6" s="118"/>
      <c r="W6" s="117" t="s">
        <v>15</v>
      </c>
      <c r="X6" s="123"/>
      <c r="Y6" s="123"/>
      <c r="Z6" s="123"/>
      <c r="AA6" s="21"/>
      <c r="AB6" s="21"/>
      <c r="AC6" s="21"/>
      <c r="AD6" s="21"/>
      <c r="AE6" s="21"/>
      <c r="AF6" s="21"/>
      <c r="AG6" s="124"/>
    </row>
    <row r="7" spans="1:44" s="117" customFormat="1" ht="19.2" customHeight="1">
      <c r="C7" s="125"/>
      <c r="D7" s="125"/>
      <c r="E7" s="125"/>
      <c r="F7" s="125"/>
      <c r="G7" s="125"/>
      <c r="H7" s="125"/>
      <c r="I7" s="125"/>
      <c r="J7" s="125"/>
      <c r="K7" s="125"/>
      <c r="L7" s="125"/>
      <c r="M7" s="125"/>
      <c r="N7" s="125"/>
      <c r="O7" s="306"/>
      <c r="P7" s="306"/>
      <c r="Q7" s="306"/>
      <c r="R7" s="215"/>
      <c r="S7" s="214"/>
      <c r="T7" s="215"/>
      <c r="U7" s="125"/>
      <c r="V7" s="125"/>
      <c r="W7" s="117" t="s">
        <v>16</v>
      </c>
      <c r="X7" s="126"/>
      <c r="Y7" s="127"/>
      <c r="Z7" s="127"/>
      <c r="AA7" s="21"/>
      <c r="AB7" s="21"/>
      <c r="AC7" s="21"/>
      <c r="AD7" s="21"/>
      <c r="AE7" s="21"/>
      <c r="AF7" s="21"/>
      <c r="AG7" s="124"/>
    </row>
    <row r="8" spans="1:44" s="117" customFormat="1" ht="19.2" customHeight="1">
      <c r="B8" s="311"/>
      <c r="C8" s="306"/>
      <c r="D8" s="306"/>
      <c r="E8" s="306"/>
      <c r="F8" s="312"/>
      <c r="G8" s="312"/>
      <c r="H8" s="312"/>
      <c r="I8" s="128"/>
      <c r="J8" s="128"/>
      <c r="K8" s="128"/>
      <c r="L8" s="128"/>
      <c r="M8" s="128"/>
      <c r="N8" s="128"/>
      <c r="O8" s="307" t="str">
        <f>IF(B3="English","Supplier's code No.:",IF(B3="中国語","供应商编码:","取引先コードNo.:"))</f>
        <v>取引先コードNo.:</v>
      </c>
      <c r="P8" s="307"/>
      <c r="Q8" s="307"/>
      <c r="R8" s="216"/>
      <c r="S8" s="217"/>
      <c r="T8" s="216"/>
      <c r="W8" s="130"/>
      <c r="X8" s="130"/>
      <c r="Y8" s="130"/>
      <c r="Z8" s="130"/>
      <c r="AA8" s="129"/>
      <c r="AB8" s="130"/>
      <c r="AC8" s="130"/>
      <c r="AD8" s="130"/>
      <c r="AE8" s="130"/>
      <c r="AF8" s="130"/>
      <c r="AG8" s="130"/>
    </row>
    <row r="9" spans="1:44" s="117" customFormat="1" ht="19.2" customHeight="1">
      <c r="B9" s="310"/>
      <c r="C9" s="313"/>
      <c r="D9" s="313"/>
      <c r="E9" s="313"/>
      <c r="F9" s="314"/>
      <c r="G9" s="314"/>
      <c r="H9" s="314"/>
      <c r="I9" s="124"/>
      <c r="J9" s="124"/>
      <c r="K9" s="124"/>
      <c r="L9" s="124"/>
      <c r="M9" s="124"/>
      <c r="N9" s="124"/>
      <c r="O9" s="308"/>
      <c r="P9" s="308"/>
      <c r="Q9" s="308"/>
      <c r="R9" s="218"/>
      <c r="S9" s="219"/>
      <c r="T9" s="216"/>
      <c r="V9" s="132"/>
      <c r="W9" s="131"/>
      <c r="X9" s="131"/>
      <c r="Y9" s="131"/>
      <c r="Z9" s="131"/>
      <c r="AA9" s="131"/>
      <c r="AB9" s="131"/>
      <c r="AC9" s="131"/>
      <c r="AD9" s="131"/>
      <c r="AE9" s="131"/>
      <c r="AF9" s="131"/>
      <c r="AG9" s="131"/>
      <c r="AN9" s="133"/>
      <c r="AO9" s="133"/>
      <c r="AP9" s="133"/>
      <c r="AQ9" s="133"/>
      <c r="AR9" s="133"/>
    </row>
    <row r="10" spans="1:44" s="117" customFormat="1" ht="10.199999999999999" customHeight="1">
      <c r="B10" s="134"/>
      <c r="C10" s="21"/>
      <c r="D10" s="21"/>
      <c r="E10" s="21"/>
      <c r="F10" s="21"/>
      <c r="G10" s="21"/>
      <c r="H10" s="21"/>
      <c r="I10" s="21"/>
      <c r="J10" s="21"/>
      <c r="K10" s="21"/>
      <c r="L10" s="21"/>
      <c r="M10" s="21"/>
      <c r="N10" s="135"/>
      <c r="O10" s="135"/>
      <c r="P10" s="21"/>
      <c r="Q10" s="136"/>
      <c r="R10" s="220"/>
      <c r="S10" s="221"/>
      <c r="T10" s="221"/>
      <c r="V10" s="137"/>
      <c r="W10" s="131"/>
      <c r="X10" s="131"/>
      <c r="Y10" s="131"/>
      <c r="Z10" s="131"/>
      <c r="AA10" s="131"/>
      <c r="AB10" s="131"/>
      <c r="AC10" s="131"/>
      <c r="AD10" s="131"/>
      <c r="AE10" s="131"/>
      <c r="AF10" s="131"/>
      <c r="AG10" s="131"/>
      <c r="AN10" s="133"/>
      <c r="AO10" s="133"/>
      <c r="AP10" s="133"/>
      <c r="AQ10" s="133"/>
      <c r="AR10" s="133"/>
    </row>
    <row r="11" spans="1:44" s="117" customFormat="1" ht="15" customHeight="1">
      <c r="B11" s="138" t="str">
        <f>IF(B3="English","[Manufacturer to fill out］",IF(B3="中国語","[提出源记入栏］","[提出元記入欄］"))</f>
        <v>[提出元記入欄］</v>
      </c>
      <c r="C11" s="121"/>
      <c r="E11" s="121"/>
      <c r="F11" s="121"/>
      <c r="G11" s="121"/>
      <c r="H11" s="121"/>
      <c r="I11" s="139"/>
      <c r="J11" s="139"/>
      <c r="K11" s="139"/>
      <c r="L11" s="139"/>
      <c r="M11" s="121"/>
      <c r="N11" s="140"/>
      <c r="O11" s="140"/>
      <c r="P11" s="43"/>
      <c r="R11" s="222"/>
      <c r="S11" s="222"/>
      <c r="T11" s="223"/>
      <c r="U11" s="29"/>
      <c r="AM11" s="133"/>
      <c r="AN11" s="133"/>
      <c r="AO11" s="133"/>
      <c r="AP11" s="133"/>
      <c r="AQ11" s="133"/>
    </row>
    <row r="12" spans="1:44" s="117" customFormat="1" ht="19.2" customHeight="1">
      <c r="A12" s="43"/>
      <c r="B12" s="231" t="str">
        <f>IF(B3="English","Date(yy.mm.dd)",IF(B3="中国語","发行日","発行日"))</f>
        <v>発行日</v>
      </c>
      <c r="C12" s="232"/>
      <c r="D12" s="309"/>
      <c r="E12" s="310"/>
      <c r="F12" s="310"/>
      <c r="G12" s="310"/>
      <c r="H12" s="310"/>
      <c r="I12" s="231" t="str">
        <f>IF(B3="English","E-mail",IF(B3="中国語","邮箱地址","メールアドレス"))</f>
        <v>メールアドレス</v>
      </c>
      <c r="J12" s="291"/>
      <c r="K12" s="291"/>
      <c r="L12" s="291"/>
      <c r="M12" s="292"/>
      <c r="N12" s="289" t="s">
        <v>2</v>
      </c>
      <c r="O12" s="299"/>
      <c r="P12" s="299"/>
      <c r="Q12" s="299"/>
      <c r="R12" s="224"/>
      <c r="S12" s="224"/>
      <c r="T12" s="222"/>
      <c r="U12" s="133"/>
      <c r="V12" s="133"/>
      <c r="W12" s="133"/>
      <c r="X12" s="133"/>
      <c r="Y12" s="133"/>
    </row>
    <row r="13" spans="1:44" s="117" customFormat="1" ht="19.2" customHeight="1">
      <c r="A13" s="43"/>
      <c r="B13" s="231" t="str">
        <f>IF(B3="English","Company name",IF(B3="中国語","公司名称","会社名"))</f>
        <v>会社名</v>
      </c>
      <c r="C13" s="232"/>
      <c r="D13" s="289"/>
      <c r="E13" s="290"/>
      <c r="F13" s="290"/>
      <c r="G13" s="290"/>
      <c r="H13" s="290"/>
      <c r="I13" s="231" t="str">
        <f>IF(B3="English","Phone number",IF(B3="中国語","电话号码","電話番号"))</f>
        <v>電話番号</v>
      </c>
      <c r="J13" s="291"/>
      <c r="K13" s="291"/>
      <c r="L13" s="291"/>
      <c r="M13" s="292"/>
      <c r="N13" s="289"/>
      <c r="O13" s="299"/>
      <c r="P13" s="299"/>
      <c r="Q13" s="299"/>
      <c r="R13" s="224"/>
      <c r="S13" s="224"/>
      <c r="T13" s="222"/>
      <c r="U13" s="133"/>
      <c r="V13" s="133"/>
      <c r="W13" s="133"/>
      <c r="X13" s="133"/>
      <c r="Y13" s="133"/>
    </row>
    <row r="14" spans="1:44" s="117" customFormat="1" ht="19.2" customHeight="1">
      <c r="A14" s="43"/>
      <c r="B14" s="231" t="str">
        <f>IF(B3="English","Division name",IF(B3="中国語","部门名称","部署名"))</f>
        <v>部署名</v>
      </c>
      <c r="C14" s="232"/>
      <c r="D14" s="289" t="s">
        <v>2</v>
      </c>
      <c r="E14" s="290"/>
      <c r="F14" s="290"/>
      <c r="G14" s="290"/>
      <c r="H14" s="290"/>
      <c r="I14" s="231" t="str">
        <f>IF(B3="English","Responsible person (in block)",IF(B3="中国語","责任者名","責任者名"))</f>
        <v>責任者名</v>
      </c>
      <c r="J14" s="291"/>
      <c r="K14" s="291"/>
      <c r="L14" s="291"/>
      <c r="M14" s="292"/>
      <c r="N14" s="289" t="s">
        <v>2</v>
      </c>
      <c r="O14" s="293"/>
      <c r="P14" s="293"/>
      <c r="Q14" s="293"/>
      <c r="R14" s="224"/>
      <c r="S14" s="224"/>
      <c r="T14" s="222"/>
      <c r="U14" s="133"/>
      <c r="V14" s="133"/>
      <c r="W14" s="133"/>
      <c r="X14" s="133"/>
      <c r="Y14" s="133"/>
    </row>
    <row r="15" spans="1:44" s="117" customFormat="1" ht="19.2" customHeight="1">
      <c r="B15" s="231" t="str">
        <f>IF(B3="English","Written by ",IF(B3="中国語","填写者名","記入者名"))</f>
        <v>記入者名</v>
      </c>
      <c r="C15" s="232"/>
      <c r="D15" s="289" t="s">
        <v>1</v>
      </c>
      <c r="E15" s="290"/>
      <c r="F15" s="290"/>
      <c r="G15" s="290"/>
      <c r="H15" s="290"/>
      <c r="I15" s="294" t="str">
        <f>IF(B3="English","Signature",IF(B3="中国語","盖章","印"))</f>
        <v>印</v>
      </c>
      <c r="J15" s="295"/>
      <c r="K15" s="295"/>
      <c r="L15" s="295"/>
      <c r="M15" s="296"/>
      <c r="N15" s="297" t="str">
        <f>IF(B3="English","",IF(B3="中国語","盖章","印"))</f>
        <v>印</v>
      </c>
      <c r="O15" s="298"/>
      <c r="P15" s="298"/>
      <c r="Q15" s="298"/>
      <c r="R15" s="225"/>
      <c r="S15" s="225"/>
      <c r="T15" s="222"/>
    </row>
    <row r="16" spans="1:44" s="117" customFormat="1" ht="10.199999999999999" customHeight="1">
      <c r="O16" s="121"/>
      <c r="P16" s="140"/>
      <c r="Q16" s="140"/>
      <c r="R16" s="222"/>
      <c r="S16" s="222"/>
      <c r="T16" s="222"/>
      <c r="AA16" s="31"/>
    </row>
    <row r="17" spans="1:24" s="117" customFormat="1" ht="14.7" customHeight="1">
      <c r="A17" s="142"/>
      <c r="B17" s="143" t="str">
        <f>IF(B3="English"," Part name or Part number",IF(B3="中国語","品名・品番号・图番号・条款编号","品名・品番・図番・アイテムコード"))</f>
        <v>品名・品番・図番・アイテムコード</v>
      </c>
      <c r="C17" s="142"/>
      <c r="I17" s="29"/>
      <c r="Q17" s="144"/>
      <c r="R17" s="222"/>
      <c r="S17" s="222"/>
      <c r="T17" s="222"/>
    </row>
    <row r="18" spans="1:24" s="117" customFormat="1" ht="19.2" customHeight="1">
      <c r="B18" s="280" t="str">
        <f>IF(B3="English","Our part name, Manufacturer :",IF(B3="中国語","本公司品名(厂家名):","弊社品名(メーカー名)："))</f>
        <v>弊社品名(メーカー名)：</v>
      </c>
      <c r="C18" s="281"/>
      <c r="D18" s="282"/>
      <c r="E18" s="282"/>
      <c r="F18" s="282"/>
      <c r="G18" s="282"/>
      <c r="H18" s="283"/>
      <c r="I18" s="287" t="str">
        <f>IF(B3="English","Our part, drawing number :",IF(B3="中国語","本公司品番号, 图番 :","弊社品番,図番等："))</f>
        <v>弊社品番,図番等：</v>
      </c>
      <c r="J18" s="280"/>
      <c r="K18" s="280"/>
      <c r="L18" s="280"/>
      <c r="M18" s="280"/>
      <c r="N18" s="261"/>
      <c r="O18" s="262"/>
      <c r="P18" s="262"/>
      <c r="Q18" s="262"/>
      <c r="R18" s="226"/>
      <c r="S18" s="226"/>
      <c r="T18" s="222"/>
    </row>
    <row r="19" spans="1:24" s="117" customFormat="1" ht="19.2" customHeight="1">
      <c r="B19" s="260" t="str">
        <f>IF(B3="English","MinebeaMitsumi part name:",IF(B3="中国語","美蓓亚三美G 品名:","ミネベアミツミG品名："))</f>
        <v>ミネベアミツミG品名：</v>
      </c>
      <c r="C19" s="284"/>
      <c r="D19" s="285"/>
      <c r="E19" s="285"/>
      <c r="F19" s="285"/>
      <c r="G19" s="285"/>
      <c r="H19" s="286"/>
      <c r="I19" s="288" t="str">
        <f>IF(B3="English","MinebeaMitsumi G part No.:",IF(B3="中国語","美蓓亚三美G 品番:","ミネベアミツミG品番："))</f>
        <v>ミネベアミツミG品番：</v>
      </c>
      <c r="J19" s="260"/>
      <c r="K19" s="260"/>
      <c r="L19" s="260"/>
      <c r="M19" s="260"/>
      <c r="N19" s="261"/>
      <c r="O19" s="262"/>
      <c r="P19" s="262"/>
      <c r="Q19" s="262"/>
      <c r="R19" s="227"/>
      <c r="S19" s="227"/>
      <c r="T19" s="222"/>
    </row>
    <row r="20" spans="1:24" s="117" customFormat="1" ht="19.2" customHeight="1">
      <c r="B20" s="260" t="str">
        <f>IF(B3="English","MinebeaMitsumi Drawing No.:",IF(B3="中国語","美蓓亚三美G 图番","ミネベアミツミG図番："))</f>
        <v>ミネベアミツミG図番：</v>
      </c>
      <c r="C20" s="284"/>
      <c r="D20" s="285"/>
      <c r="E20" s="285"/>
      <c r="F20" s="285"/>
      <c r="G20" s="285"/>
      <c r="H20" s="286"/>
      <c r="I20" s="259" t="str">
        <f>IF(B3="English","MinebeaMitsumi Item code",IF(B3="中国語","美蓓亚三美条款编号","ミネベアミツミGアイテムコード："))</f>
        <v>ミネベアミツミGアイテムコード：</v>
      </c>
      <c r="J20" s="260"/>
      <c r="K20" s="260"/>
      <c r="L20" s="260"/>
      <c r="M20" s="260"/>
      <c r="N20" s="261"/>
      <c r="O20" s="262"/>
      <c r="P20" s="262"/>
      <c r="Q20" s="262"/>
      <c r="R20" s="227"/>
      <c r="S20" s="227"/>
      <c r="T20" s="222"/>
    </row>
    <row r="21" spans="1:24" ht="19.2" customHeight="1">
      <c r="A21" s="145"/>
      <c r="B21" s="124"/>
      <c r="C21" s="146"/>
      <c r="D21" s="146"/>
      <c r="E21" s="146"/>
      <c r="F21" s="146"/>
      <c r="G21" s="146"/>
      <c r="H21" s="146"/>
      <c r="I21" s="147"/>
      <c r="J21" s="147"/>
      <c r="K21" s="147"/>
      <c r="L21" s="147"/>
      <c r="M21" s="148"/>
      <c r="N21" s="148"/>
      <c r="O21" s="149"/>
      <c r="P21" s="43"/>
      <c r="Q21" s="150"/>
      <c r="R21" s="228"/>
      <c r="S21" s="229"/>
      <c r="T21" s="230"/>
    </row>
    <row r="22" spans="1:24" ht="19.2" customHeight="1">
      <c r="A22" s="152"/>
      <c r="B22" s="263" t="str">
        <f>IF(B3="English","Product Mass",IF(B3="中国語","产品质量","製品質量"))</f>
        <v>製品質量</v>
      </c>
      <c r="C22" s="264"/>
      <c r="D22" s="196"/>
      <c r="E22" s="48" t="s">
        <v>19</v>
      </c>
      <c r="F22" s="153" t="s">
        <v>20</v>
      </c>
      <c r="G22" s="50" t="s">
        <v>4</v>
      </c>
      <c r="H22" s="154"/>
      <c r="I22" s="155"/>
      <c r="J22" s="155"/>
      <c r="K22" s="155"/>
      <c r="L22" s="155"/>
      <c r="R22" s="230"/>
      <c r="S22" s="230"/>
      <c r="T22" s="230"/>
    </row>
    <row r="23" spans="1:24" ht="10.199999999999999" customHeight="1">
      <c r="A23" s="152"/>
      <c r="B23" s="141"/>
      <c r="C23" s="141"/>
      <c r="D23" s="152"/>
      <c r="E23" s="152"/>
      <c r="F23" s="152"/>
      <c r="G23" s="152"/>
      <c r="H23" s="154"/>
      <c r="I23" s="155"/>
      <c r="J23" s="155"/>
      <c r="K23" s="155"/>
      <c r="L23" s="155"/>
      <c r="R23" s="230"/>
      <c r="S23" s="230"/>
      <c r="T23" s="230"/>
    </row>
    <row r="24" spans="1:24" s="156" customFormat="1" ht="12" hidden="1" customHeight="1">
      <c r="B24" s="157" t="s">
        <v>12</v>
      </c>
      <c r="D24" s="158" t="s">
        <v>61</v>
      </c>
      <c r="E24" s="158"/>
      <c r="R24" s="55"/>
      <c r="S24" s="55"/>
      <c r="T24" s="55"/>
    </row>
    <row r="25" spans="1:24" s="156" customFormat="1" ht="12" hidden="1" customHeight="1">
      <c r="B25" s="156" t="str">
        <f>IF(B3="English","Main Component",IF(B3="中国語","主成分","主成分"))</f>
        <v>主成分</v>
      </c>
      <c r="D25" s="156" t="str">
        <f>IF(B3="English","Intentional",IF(B3="中国語","有意","意図的"))</f>
        <v>意図的</v>
      </c>
      <c r="M25" s="159" t="str">
        <f>IF(B3="English","base_material",IF(B3="中国語","母材","母材"))</f>
        <v>母材</v>
      </c>
      <c r="N25" s="159" t="str">
        <f>IF(B3="English","clad",IF(B3="中国語","包覆","被覆"))</f>
        <v>被覆</v>
      </c>
      <c r="O25" s="159" t="str">
        <f>IF(B3="English","attached_agent",IF(B3="中国語","附着剤","付着剤"))</f>
        <v>付着剤</v>
      </c>
      <c r="P25" s="159" t="str">
        <f>IF(B3="English","inner_preparations",IF(B3="中国語","包含剂_适用于运转用配制品","内包剤_運転用調剤などに適用"))</f>
        <v>内包剤_運転用調剤などに適用</v>
      </c>
      <c r="Q25" s="159" t="str">
        <f>IF(B3="English","solder_joint",IF(B3="中国語","焊点","はんだ接合"))</f>
        <v>はんだ接合</v>
      </c>
      <c r="R25" s="103" t="str">
        <f>IF(B3="English","plating",IF(B3="中国語","表面处理_电镀","表面処理系_めっき"))</f>
        <v>表面処理系_めっき</v>
      </c>
      <c r="S25" s="103" t="str">
        <f>IF(B3="English","chemical_conversion_treatment",IF(B3="中国語","表面处理_化学合成处理","表面処理系_化成処理"))</f>
        <v>表面処理系_化成処理</v>
      </c>
      <c r="T25" s="103" t="str">
        <f>IF(B3="English","flame_spray_coating",IF(B3="中国語","表面处理_喷镀","表面処理系_溶射"))</f>
        <v>表面処理系_溶射</v>
      </c>
      <c r="U25" s="159" t="str">
        <f>IF(B3="English","PVD(Physical_Vapor_Deposition)",IF(B3="中国語","表面处理\PVD处理(物的蒸镀)","表面処理系_PVC処理"))</f>
        <v>表面処理系_PVC処理</v>
      </c>
      <c r="V25" s="159" t="str">
        <f>IF(B3="English","CVD(Chemical_Vapor_Deposition)",IF(B3="中国語","表面处理_CVD处理_化学的蒸镀","表面処理系_CVD処理"))</f>
        <v>表面処理系_CVD処理</v>
      </c>
      <c r="W25" s="159" t="str">
        <f>IF(B3="English","painting",IF(B3="中国語","表面处理_涂装","表面処理系_塗装"))</f>
        <v>表面処理系_塗装</v>
      </c>
      <c r="X25" s="159" t="str">
        <f>IF(B3="English","marking",IF(B3="中国語","表面处理_标印","表面処理系_マーキング"))</f>
        <v>表面処理系_マーキング</v>
      </c>
    </row>
    <row r="26" spans="1:24" s="156" customFormat="1" ht="12" hidden="1" customHeight="1">
      <c r="B26" s="156" t="str">
        <f>IF(B3="English","Metal, Alloy Component",IF(B3="中国語","金属、合金成分","金属、合金成分"))</f>
        <v>金属、合金成分</v>
      </c>
      <c r="D26" s="156" t="str">
        <f>IF(B3="English","Impurity",IF(B3="中国語","杂质","不純物"))</f>
        <v>不純物</v>
      </c>
      <c r="M26" s="159" t="str">
        <f>IF(B3="English","highly alloyed steel",IF(B3="中国語","高合金钢","高合金鋼"))</f>
        <v>高合金鋼</v>
      </c>
      <c r="N26" s="159" t="str">
        <f>IF(B3="English","Ceramics",IF(B3="中国語","陶瓷","セラミック"))</f>
        <v>セラミック</v>
      </c>
      <c r="O26" s="159" t="str">
        <f>IF(B3="English","filled Thermoplastics",IF(B3="中国語","含有填料带（填料）的热可塑树脂","フィラー(充填材)を含有する熱可塑性樹脂"))</f>
        <v>フィラー(充填材)を含有する熱可塑性樹脂</v>
      </c>
      <c r="P26" s="159" t="str">
        <f>IF(B3="English","Refrigerant",IF(B3="中国語","气体(制冷剂等)","冷媒"))</f>
        <v>冷媒</v>
      </c>
      <c r="Q26" s="159" t="str">
        <f>IF(B3="English","Sn-Pb solder",IF(B3="中国語","有铅焊锡","含鉛はんだ"))</f>
        <v>含鉛はんだ</v>
      </c>
      <c r="R26" s="103" t="str">
        <f>IF(B3="English","Zinc plating",IF(B3="中国語","镀锌","亜鉛めっき"))</f>
        <v>亜鉛めっき</v>
      </c>
      <c r="S26" s="103" t="str">
        <f>IF(B3="English","Hexavalent chromate film",IF(B3="中国語","铬酸盐膜,六价铬处理","クロメート被膜・６価クロム処理"))</f>
        <v>クロメート被膜・６価クロム処理</v>
      </c>
      <c r="T26" s="103" t="str">
        <f>IF(B3="English","Zinc spray coating",IF(B3="中国語","喷镀锌","亜鉛溶射"))</f>
        <v>亜鉛溶射</v>
      </c>
      <c r="U26" s="159" t="str">
        <f>IF(B3="English","CrN Coatings",IF(B3="中国語","CrN 涂层","CrN コーティング"))</f>
        <v>CrN コーティング</v>
      </c>
      <c r="V26" s="159" t="str">
        <f>IF(B3="English","CrN Coatings",IF(B3="中国語","CrN 涂层","CrN コーティング"))</f>
        <v>CrN コーティング</v>
      </c>
      <c r="W26" s="159" t="str">
        <f>IF(B3="English","Painted resin",IF(B3="中国語","涂膜树脂","塗膜樹脂"))</f>
        <v>塗膜樹脂</v>
      </c>
      <c r="X26" s="159" t="str">
        <f>IF(B3="English","Painted resin",IF(B3="中国語","涂膜树脂","塗膜樹脂"))</f>
        <v>塗膜樹脂</v>
      </c>
    </row>
    <row r="27" spans="1:24" s="156" customFormat="1" ht="12" hidden="1" customHeight="1">
      <c r="B27" s="156" t="str">
        <f>IF(B3="English","Resistance Component",IF(B3="中国語","抵抗成分","抵抗成分"))</f>
        <v>抵抗成分</v>
      </c>
      <c r="M27" s="159" t="str">
        <f>IF(B3="English","Highly alloyed cast iron",IF(B3="中国語","高合金铸铁","高合金鋳鉄"))</f>
        <v>高合金鋳鉄</v>
      </c>
      <c r="N27" s="159" t="str">
        <f>IF(B3="English","Glass",IF(B3="中国語","玻璃","ガラス"))</f>
        <v>ガラス</v>
      </c>
      <c r="O27" s="159" t="str">
        <f>IF(B3="English","PE (Polyethylene)",IF(B3="中国語","聚乙烯(PE)","PE(ポリエチレン)"))</f>
        <v>PE(ポリエチレン)</v>
      </c>
      <c r="P27" s="159" t="str">
        <f>IF(B3="English","Lubricants,Brake fluid, etc",IF(B3="中国語","液体(润滑剂、制动液等)","潤滑剤、ブレーキフルード、他"))</f>
        <v>潤滑剤、ブレーキフルード、他</v>
      </c>
      <c r="Q27" s="159" t="str">
        <f>IF(B3="English","Lead-free solder",IF(B3="中国語","无铅焊锡","非鉛はんだ"))</f>
        <v>非鉛はんだ</v>
      </c>
      <c r="R27" s="103" t="str">
        <f>IF(B3="English","Nickel plating",IF(B3="中国語","镀镍","ニッケルめっき"))</f>
        <v>ニッケルめっき</v>
      </c>
      <c r="S27" s="103" t="str">
        <f>IF(B3="English","Trivalent Chromium Passivation",IF(B3="中国語","三价铬酸盐处理","３価クロメート処理"))</f>
        <v>３価クロメート処理</v>
      </c>
      <c r="T27" s="103" t="str">
        <f>IF(B3="English","Aluminum spray coating",IF(B3="中国語","喷镀铝","アルミニウム溶射"))</f>
        <v>アルミニウム溶射</v>
      </c>
      <c r="U27" s="159" t="str">
        <f>IF(B3="English","DLC Coatings",IF(B3="中国語","DLC 涂层","DLC コーティング"))</f>
        <v>DLC コーティング</v>
      </c>
      <c r="V27" s="159" t="str">
        <f>IF(B3="English","DLC Coatings",IF(B3="中国語","DLC 涂层","DLC コーティング"))</f>
        <v>DLC コーティング</v>
      </c>
      <c r="W27" s="159" t="str">
        <f>IF(B3="English","Non electrolytically applied zinc flake coatings (Dacrotizing)",IF(B3="中国語","达克锈金属表面处理","ダクロ処理"))</f>
        <v>ダクロ処理</v>
      </c>
      <c r="X27" s="159" t="str">
        <f>IF(B3="English","Non electrolytically applied zinc flake coatings (Dacrotizing)",IF(B3="中国語","达克锈金属表面处理","ダクロ処理"))</f>
        <v>ダクロ処理</v>
      </c>
    </row>
    <row r="28" spans="1:24" s="156" customFormat="1" ht="12" hidden="1" customHeight="1">
      <c r="B28" s="156" t="str">
        <f>IF(B3="English","Dielectric Component",IF(B3="中国語","感应电体成分","誘電体成分"))</f>
        <v>誘電体成分</v>
      </c>
      <c r="M28" s="159" t="str">
        <f>IF(B3="English","Steels/cast steel/sintered steel",IF(B3="中国語","钢铁/铸钢/烧结合金","鉄鋼/鋳鋼/焼結合金"))</f>
        <v>鉄鋼/鋳鋼/焼結合金</v>
      </c>
      <c r="N28" s="159" t="str">
        <f>IF(B3="English","Other inorganic compounds",IF(B3="中国語","其它无机化合物","その他無機化合物"))</f>
        <v>その他無機化合物</v>
      </c>
      <c r="O28" s="159" t="str">
        <f>IF(B3="English","PP(Polypropylene)",IF(B3="中国語","聚丙烯 (PP)","PP(ポリプロピレン) "))</f>
        <v xml:space="preserve">PP(ポリプロピレン) </v>
      </c>
      <c r="P28" s="159" t="str">
        <f>IF(B3="English","Others (Powder,etc)",IF(B3="中国語","其他材料（粉末等）","その他材料（粉体ほか）"))</f>
        <v>その他材料（粉体ほか）</v>
      </c>
      <c r="Q28" s="159"/>
      <c r="R28" s="103" t="str">
        <f>IF(B3="English","Aluminum plating",IF(B3="中国語","镀铝","アルミニウムめっき"))</f>
        <v>アルミニウムめっき</v>
      </c>
      <c r="S28" s="103" t="str">
        <f>IF(B3="English","Chromium-free Passivation",IF(B3="中国語","无铬处理","クロムフリー処理"))</f>
        <v>クロムフリー処理</v>
      </c>
      <c r="T28" s="103" t="str">
        <f>IF(B3="English","Build-up thermal spraying",IF(B3="中国語","堆焊喷镀","肉盛溶射"))</f>
        <v>肉盛溶射</v>
      </c>
      <c r="U28" s="159" t="str">
        <f>IF(B3="English","TiN Coatings",IF(B3="中国語","TiN 涂层","TiN コーティング"))</f>
        <v>TiN コーティング</v>
      </c>
      <c r="V28" s="159" t="str">
        <f>IF(B3="English","TiN Coatings",IF(B3="中国語","TiN 涂层","TiN コーティング"))</f>
        <v>TiN コーティング</v>
      </c>
      <c r="W28" s="159" t="str">
        <f>IF(B3="English","Coating (ceramics)",IF(B3="中国語","涂层（陶瓷）","コーティング（セラミックス）"))</f>
        <v>コーティング（セラミックス）</v>
      </c>
      <c r="X28" s="159" t="str">
        <f>IF(B3="English","Coating (ceramics)",IF(B3="中国語","涂层（陶瓷）","コーティング（セラミックス）"))</f>
        <v>コーティング（セラミックス）</v>
      </c>
    </row>
    <row r="29" spans="1:24" s="156" customFormat="1" ht="12" hidden="1" customHeight="1">
      <c r="B29" s="156" t="str">
        <f>IF(B3="English","Glass Component",IF(B3="中国語","玻璃成分","ガラス成分"))</f>
        <v>ガラス成分</v>
      </c>
      <c r="M29" s="159" t="str">
        <f>IF(B3="English","unalloyed, low alloyed steel",IF(B3="中国語","非合金,低合金钢","非合金,低合金鋼"))</f>
        <v>非合金,低合金鋼</v>
      </c>
      <c r="N29" s="159" t="str">
        <f>IF(B3="English","filled Thermoplastics",IF(B3="中国語","含有填料带（填料）的热可塑树脂","フィラー(充填材)を含有する熱可塑性樹脂"))</f>
        <v>フィラー(充填材)を含有する熱可塑性樹脂</v>
      </c>
      <c r="O29" s="159" t="str">
        <f>IF(B3="English","PS (Polystyrene)",IF(B3="聚苯乙烯 (PS)","部位名","PS(ポリスチレン)"))</f>
        <v>PS(ポリスチレン)</v>
      </c>
      <c r="P29" s="159"/>
      <c r="Q29" s="159"/>
      <c r="R29" s="103" t="str">
        <f>IF(B3="English","Copper plating",IF(B3="中国語","镀铜","銅めっき"))</f>
        <v>銅めっき</v>
      </c>
      <c r="S29" s="103" t="str">
        <f>IF(B3="English","GEOMET Coating",IF(B3="中国語","GOMET(无铬)处理","ジオメット処理（ノンクロム）処理"))</f>
        <v>ジオメット処理（ノンクロム）処理</v>
      </c>
      <c r="T29" s="103" t="str">
        <f>IF(B3="English","Thermal spraying of self-fluxing alloy SFCo",IF(B3="中国語","钴自熔性合金喷镀","コバルト自溶合金溶射"))</f>
        <v>コバルト自溶合金溶射</v>
      </c>
      <c r="U29" s="159" t="str">
        <f>IF(B3="English","Gold vapor deposition film(Icd.Sputtering)",IF(B3="中国語","汽化镀金膜（包含喷溅）","金蒸着（スパッタを含む）"))</f>
        <v>金蒸着（スパッタを含む）</v>
      </c>
      <c r="V29" s="159" t="str">
        <f>IF(B3="English","Gold vapor deposition film(Icd.Sputtering)",IF(B3="中国語","汽化镀金膜（包含喷溅）","金蒸着（スパッタを含む）"))</f>
        <v>金蒸着（スパッタを含む）</v>
      </c>
      <c r="W29" s="159" t="str">
        <f>IF(B3="English","Coating (glass)",IF(B3="中国語","涂层（玻璃）","コーティング（ガラス）"))</f>
        <v>コーティング（ガラス）</v>
      </c>
      <c r="X29" s="159" t="str">
        <f>IF(B3="English","Coating (glass)",IF(B3="中国語","涂层（玻璃）","コーティング（ガラス）"))</f>
        <v>コーティング（ガラス）</v>
      </c>
    </row>
    <row r="30" spans="1:24" s="156" customFormat="1" ht="12" hidden="1" customHeight="1">
      <c r="B30" s="156" t="str">
        <f>IF(B3="English","Resin Component",IF(B3="中国語","树脂成分","樹脂成分"))</f>
        <v>樹脂成分</v>
      </c>
      <c r="M30" s="159" t="str">
        <f>IF(B3="English","Cast iron",IF(B3="中国語","铸铁","鋳鉄"))</f>
        <v>鋳鉄</v>
      </c>
      <c r="N30" s="159" t="str">
        <f>IF(B3="English","PE (Polyethylene)",IF(B3="中国語","聚乙烯(PE)","PE(ポリエチレン)"))</f>
        <v>PE(ポリエチレン)</v>
      </c>
      <c r="O30" s="159" t="str">
        <f>IF(B3="English","PVC (Poly vinyl chloride)",IF(B3="中国語","聚氯乙烯 (PVC)","PVC(ポリ塩化ビニル)"))</f>
        <v>PVC(ポリ塩化ビニル)</v>
      </c>
      <c r="P30" s="159"/>
      <c r="Q30" s="159"/>
      <c r="R30" s="103" t="str">
        <f>IF(B3="English","Tin plating",IF(B3="中国語","镀锡","スズめっき"))</f>
        <v>スズめっき</v>
      </c>
      <c r="S30" s="103" t="str">
        <f>IF(B3="English","BONDE Coating (Oxalic)",IF(B3="中国語","磷酸盐处理","シュウ酸ボンデ処理"))</f>
        <v>シュウ酸ボンデ処理</v>
      </c>
      <c r="T30" s="103" t="str">
        <f>IF(B3="English","Thermal spraying of self-fluxing alloy SFWC",IF(B3="中国語","碳化钨自熔性合金喷镀","タングステンカーバイト自溶合金溶射"))</f>
        <v>タングステンカーバイト自溶合金溶射</v>
      </c>
      <c r="U30" s="159" t="str">
        <f>IF(B3="English","Vapor deposition film(Icd.Sputtering) of other noble or rare metals",IF(B3="中国語","金以外的贵金属、稀金属蒸镀膜（包含喷溅）","金以外の貴金属・希少金属蒸着（スパッタを含む）"))</f>
        <v>金以外の貴金属・希少金属蒸着（スパッタを含む）</v>
      </c>
      <c r="V30" s="159" t="str">
        <f>IF(B3="English","Vapor deposition film(Icd.Sputtering) of other noble or rare metals",IF(B3="中国語","金以外的贵金属、稀金属蒸镀膜（包含喷溅）","金以外の貴金属・希少金属蒸着（スパッタを含む）"))</f>
        <v>金以外の貴金属・希少金属蒸着（スパッタを含む）</v>
      </c>
      <c r="W30" s="159" t="str">
        <f>IF(B3="English","Coating (Other compounds)",IF(B3="中国語","涂层（其他复合材料）","コーティング（他の複合材）"))</f>
        <v>コーティング（他の複合材）</v>
      </c>
      <c r="X30" s="159" t="str">
        <f>IF(B3="English","Coating (Other compounds)",IF(B3="中国語","涂层（其他复合材料）","コーティング（他の複合材）"))</f>
        <v>コーティング（他の複合材）</v>
      </c>
    </row>
    <row r="31" spans="1:24" s="156" customFormat="1" ht="12" hidden="1" customHeight="1">
      <c r="B31" s="156" t="str">
        <f>IF(B3="English","Ceramics Component",IF(B3="中国語","陶瓷成分","セラミックス"))</f>
        <v>セラミックス</v>
      </c>
      <c r="M31" s="159" t="str">
        <f>IF(B3="English","Cast iron with lamellar graphite / tempered cast iron",IF(B3="中国語","片状石墨铸铁/可锻铸铁","片状黒鉛鋳鉄/可鍛鋳鉄"))</f>
        <v>片状黒鉛鋳鉄/可鍛鋳鉄</v>
      </c>
      <c r="N31" s="159" t="str">
        <f>IF(B3="English","PP(Polypropylene)",IF(B3="中国語","聚丙烯 (PP)","PP(ポリプロピレン) "))</f>
        <v xml:space="preserve">PP(ポリプロピレン) </v>
      </c>
      <c r="O31" s="159" t="str">
        <f>IF(B3="English","PC (Polycarbonate)",IF(B3="中国語","聚碳酸酯 (PC)","PC(ポリカーボネート)"))</f>
        <v>PC(ポリカーボネート)</v>
      </c>
      <c r="P31" s="159"/>
      <c r="Q31" s="159"/>
      <c r="R31" s="103" t="str">
        <f>IF(B3="English","Chromium plating",IF(B3="中国語","镀铬","クロムめっき"))</f>
        <v>クロムめっき</v>
      </c>
      <c r="S31" s="103" t="str">
        <f>IF(B3="English","ZAY Coating",IF(B3="中国語","ZAY 涂层处理","ZAY コート処理"))</f>
        <v>ZAY コート処理</v>
      </c>
      <c r="T31" s="103" t="str">
        <f>IF(B3="English","Ceramic sprayed Coatings P-AO",IF(B3="中国語","氧化铝喷镀","酸化アルミニウム溶射"))</f>
        <v>酸化アルミニウム溶射</v>
      </c>
      <c r="U31" s="159" t="str">
        <f>IF(B3="English","Other film coating of inorganic compounds",IF(B3="中国語","其他无机化合物的涂层","その他無機化合物のコーティング"))</f>
        <v>その他無機化合物のコーティング</v>
      </c>
      <c r="V31" s="159" t="str">
        <f>IF(B3="English","Other film coating of inorganic compounds",IF(B3="中国語","其他无机化合物的涂层","その他無機化合物のコーティング"))</f>
        <v>その他無機化合物のコーティング</v>
      </c>
      <c r="W31" s="159"/>
      <c r="X31" s="159"/>
    </row>
    <row r="32" spans="1:24" s="156" customFormat="1" ht="12" hidden="1" customHeight="1">
      <c r="B32" s="156" t="str">
        <f>IF(B3="English","Wiring Component",IF(B3="中国語","配线成分","配線成分"))</f>
        <v>配線成分</v>
      </c>
      <c r="M32" s="159" t="str">
        <f>IF(B3="English","Cast iron with nodular graphite / vermicular cast iron",IF(B3="中国語","球状石墨铸铁/蠕墨铸铁","球状黒鉛鋳鉄 /バーミキュラー鋳鉄"))</f>
        <v>球状黒鉛鋳鉄 /バーミキュラー鋳鉄</v>
      </c>
      <c r="N32" s="159" t="str">
        <f>IF(B3="English","PS (Polystyrene)",IF(B3="聚苯乙烯 (PS)","部位名","PS(ポリスチレン)"))</f>
        <v>PS(ポリスチレン)</v>
      </c>
      <c r="O32" s="159" t="str">
        <f>IF(B3="English","POM (Polyacetal)",IF(B3="中国語","聚缩醛 (POM)","POM(ポリアセタール)"))</f>
        <v>POM(ポリアセタール)</v>
      </c>
      <c r="P32" s="159"/>
      <c r="Q32" s="159"/>
      <c r="R32" s="103" t="str">
        <f>IF(B3="English","Cobalt plating",IF(B3="中国語","镀钴","コバルトめっき"))</f>
        <v>コバルトめっき</v>
      </c>
      <c r="S32" s="103" t="str">
        <f>IF(B3="English","Anodic Oxidation Coatings",IF(B3="中国語","氧化铝膜处理","アルマイト処理"))</f>
        <v>アルマイト処理</v>
      </c>
      <c r="T32" s="103" t="str">
        <f>IF(B3="English","Ceramic sprayed Coatings P-CrO",IF(B3="中国語","氧化铬喷镀","酸化クロム溶射"))</f>
        <v>酸化クロム溶射</v>
      </c>
      <c r="U32" s="159"/>
      <c r="V32" s="159"/>
      <c r="W32" s="159"/>
      <c r="X32" s="159"/>
    </row>
    <row r="33" spans="2:24" s="156" customFormat="1" ht="12" hidden="1" customHeight="1">
      <c r="B33" s="156" t="str">
        <f>IF(B3="English","Electrolytic Plating",IF(B3="中国語","电解电镀","電解メッキ"))</f>
        <v>電解メッキ</v>
      </c>
      <c r="M33" s="159" t="str">
        <f>IF(B3="English","Cast aluminium alloys",IF(B3="中国語","铸造铝合金","鋳造アルミニウム合金"))</f>
        <v>鋳造アルミニウム合金</v>
      </c>
      <c r="N33" s="159" t="str">
        <f>IF(B3="English","PVC (Poly vinyl chloride)",IF(B3="中国語","聚氯乙烯 (PVC)","PVC(ポリ塩化ビニル)"))</f>
        <v>PVC(ポリ塩化ビニル)</v>
      </c>
      <c r="O33" s="159" t="str">
        <f>IF(B3="English","A(B)S Poly(acrylonitrile (-butadiene)-styrene)",IF(B3="中国語","丙烯腈丁二烯苯乙烯树脂 (ABS)","ABS"))</f>
        <v>ABS</v>
      </c>
      <c r="P33" s="159"/>
      <c r="Q33" s="159"/>
      <c r="R33" s="103" t="str">
        <f>IF(B3="English","Gold plating",IF(B3="中国語","镀金","金めっき"))</f>
        <v>金めっき</v>
      </c>
      <c r="S33" s="103" t="str">
        <f>IF(B3="English","Combined coatings of anodic oxide and organic coatings",IF(B3="中国語","氧化铝膜涂层处理","アルマイト塗装処理"))</f>
        <v>アルマイト塗装処理</v>
      </c>
      <c r="T33" s="103" t="str">
        <f>IF(B3="English","Ceramic sprayed Coatings P-AO-MgO",IF(B3="中国語","尖晶石喷镀","スピネル溶射"))</f>
        <v>スピネル溶射</v>
      </c>
      <c r="U33" s="159"/>
      <c r="V33" s="159"/>
      <c r="W33" s="159"/>
      <c r="X33" s="159"/>
    </row>
    <row r="34" spans="2:24" s="156" customFormat="1" ht="12" hidden="1" customHeight="1">
      <c r="B34" s="156" t="str">
        <f>IF(B3="English","Non-Electrolytic plating ",IF(B3="中国語","无电解电镀","無電解メッキ"))</f>
        <v>無電解メッキ</v>
      </c>
      <c r="M34" s="159" t="str">
        <f>IF(B3="English","Wrought aluminium alloys",IF(B3="中国語","锻造铝合金","鍛造アルミニウム合金"))</f>
        <v>鍛造アルミニウム合金</v>
      </c>
      <c r="N34" s="159" t="str">
        <f>IF(B3="English","PC (Polycarbonate)",IF(B3="中国語","聚碳酸酯 (PC)","PC(ポリカーボネート)"))</f>
        <v>PC(ポリカーボネート)</v>
      </c>
      <c r="O34" s="159" t="str">
        <f>IF(B3="English","PA (Polyamide)",IF(B3="中国語","聚酰胺 (PA)","PA(ポリアミド)"))</f>
        <v>PA(ポリアミド)</v>
      </c>
      <c r="P34" s="159"/>
      <c r="Q34" s="159"/>
      <c r="R34" s="103" t="str">
        <f>IF(B3="English","Platinum plating",IF(B3="中国語","镀铂","白金めっき"))</f>
        <v>白金めっき</v>
      </c>
      <c r="S34" s="103" t="str">
        <f>IF(B3="English","Corrosion protection of magnesium alloys",IF(B3="中国語","防腐蚀处理","マグネシウム防食処理"))</f>
        <v>マグネシウム防食処理</v>
      </c>
      <c r="T34" s="103" t="str">
        <f>IF(B3="English","Ceramic sprayed Coatings P-ZrO",IF(B3="中国語","氧化锆喷镀","酸化ジルコニウム溶射"))</f>
        <v>酸化ジルコニウム溶射</v>
      </c>
      <c r="U34" s="159"/>
      <c r="V34" s="159"/>
      <c r="W34" s="159"/>
      <c r="X34" s="159"/>
    </row>
    <row r="35" spans="2:24" s="156" customFormat="1" ht="12" hidden="1" customHeight="1">
      <c r="B35" s="156" t="str">
        <f>IF(B3="English","Dyes, Pigment",IF(B3="中国語","颜料、着色料","顔料、着色料"))</f>
        <v>顔料、着色料</v>
      </c>
      <c r="M35" s="159" t="str">
        <f>IF(B3="English","Cast magnesium alloys",IF(B3="中国語","铸造镁合金","鋳造マグネシウム合金"))</f>
        <v>鋳造マグネシウム合金</v>
      </c>
      <c r="N35" s="159" t="str">
        <f>IF(B3="English","POM (Polyacetal)",IF(B3="中国語","聚缩醛 (POM)","POM(ポリアセタール)"))</f>
        <v>POM(ポリアセタール)</v>
      </c>
      <c r="O35" s="159" t="str">
        <f>IF(B3="English","PET (Poly ethylene terephthalate )",IF(B3="中国語","聚对苯二甲酸乙二醇酯 (PET)","PET(ポリエチレンテレフタレート)"))</f>
        <v>PET(ポリエチレンテレフタレート)</v>
      </c>
      <c r="P35" s="159"/>
      <c r="Q35" s="159"/>
      <c r="R35" s="103" t="str">
        <f>IF(B3="English","Paradium plating",IF(B3="中国語","镀钯","パラジウムめっき"))</f>
        <v>パラジウムめっき</v>
      </c>
      <c r="S35" s="103" t="str">
        <f>IF(B3="English","Corrosion protection of aluminium alloys",IF(B3="中国語","铝防腐蚀处理","アルミニウム防食処理"))</f>
        <v>アルミニウム防食処理</v>
      </c>
      <c r="T35" s="103" t="str">
        <f>IF(B3="English","Cermet thermal spraying C-WC-Co",IF(B3="中国語","碳化钨-钴喷镀","炭化タングステン・コバルト溶射"))</f>
        <v>炭化タングステン・コバルト溶射</v>
      </c>
      <c r="U35" s="159"/>
      <c r="V35" s="159"/>
      <c r="W35" s="159"/>
      <c r="X35" s="159"/>
    </row>
    <row r="36" spans="2:24" s="156" customFormat="1" ht="12" hidden="1" customHeight="1">
      <c r="B36" s="156" t="str">
        <f>IF(B3="English","Catalyst",IF(B3="中国語","催化","触媒"))</f>
        <v>触媒</v>
      </c>
      <c r="M36" s="159" t="str">
        <f>IF(B3="English","Wrought magnesium alloys",IF(B3="中国語","锻造镁合金","鍛造マグネシウム合金"))</f>
        <v>鍛造マグネシウム合金</v>
      </c>
      <c r="N36" s="159" t="str">
        <f>IF(B3="English","A(B)S Poly(acrylonitrile (-butadiene)-styrene)",IF(B3="中国語","丙烯腈丁二烯苯乙烯树脂 (ABS)","ABS"))</f>
        <v>ABS</v>
      </c>
      <c r="O36" s="159" t="str">
        <f>IF(B3="English","PPE ((Modified) polyphenylene ether)",IF(B3="中国語","聚苯醚 (PPE)","PPE"))</f>
        <v>PPE</v>
      </c>
      <c r="P36" s="159"/>
      <c r="Q36" s="159"/>
      <c r="R36" s="103" t="str">
        <f>IF(B3="English","Rhodium plating",IF(B3="中国語","镀铑","ロジウムめっき"))</f>
        <v>ロジウムめっき</v>
      </c>
      <c r="S36" s="103" t="str">
        <f>IF(B3="English","Black Oxide Coatings",IF(B3="中国語","发黑（四氧化三铁）处理","黒染め（四三酸化鉄）処理"))</f>
        <v>黒染め（四三酸化鉄）処理</v>
      </c>
      <c r="T36" s="103" t="str">
        <f>IF(B3="English","Cermet thermal spraying C-CrC-Ni-Cr",IF(B3="中国語","碳化铬-镍喷镀","炭化クロム・ニッケル溶射"))</f>
        <v>炭化クロム・ニッケル溶射</v>
      </c>
      <c r="U36" s="159"/>
      <c r="V36" s="159"/>
      <c r="W36" s="159"/>
      <c r="X36" s="159"/>
    </row>
    <row r="37" spans="2:24" s="156" customFormat="1" ht="12" hidden="1" customHeight="1">
      <c r="B37" s="156" t="str">
        <f>IF(B3="English","Solvent",IF(B3="中国語","溶剂","溶媒"))</f>
        <v>溶媒</v>
      </c>
      <c r="M37" s="159" t="str">
        <f>IF(B3="English","Copper (e.g. copper amounts in cable harnesses)",IF(B3="中国語","纯铜 (例：线缆的铜)","銅(例,ケーブルハーネスの銅)"))</f>
        <v>銅(例,ケーブルハーネスの銅)</v>
      </c>
      <c r="N37" s="159" t="str">
        <f>IF(B3="English","PA (Polyamide)",IF(B3="中国語","聚酰胺 (PA)","PA(ポリアミド)"))</f>
        <v>PA(ポリアミド)</v>
      </c>
      <c r="O37" s="159" t="str">
        <f>IF(B3="English","Thermoplastic elastomer",IF(B3="中国語","热塑性弹性体","熱可塑性エラストマ"))</f>
        <v>熱可塑性エラストマ</v>
      </c>
      <c r="P37" s="159"/>
      <c r="Q37" s="159"/>
      <c r="R37" s="103" t="str">
        <f>IF(B3="English","Silver plating",IF(B3="中国語","镀银","銀めっき"))</f>
        <v>銀めっき</v>
      </c>
      <c r="S37" s="103" t="str">
        <f>IF(B3="English","Phosphate Coatings",IF(B3="中国語","磷酸处理","リン酸処理"))</f>
        <v>リン酸処理</v>
      </c>
      <c r="T37" s="103"/>
      <c r="U37" s="159"/>
      <c r="V37" s="159"/>
      <c r="W37" s="159"/>
      <c r="X37" s="159"/>
    </row>
    <row r="38" spans="2:24" s="156" customFormat="1" ht="12" hidden="1" customHeight="1">
      <c r="B38" s="156" t="str">
        <f>IF(B3="English","Impurity",IF(B3="中国語","不纯物","不純物"))</f>
        <v>不純物</v>
      </c>
      <c r="M38" s="159" t="str">
        <f>IF(B3="English","Copper alloys",IF(B3="中国語","铜合金","銅合金"))</f>
        <v>銅合金</v>
      </c>
      <c r="N38" s="159" t="str">
        <f>IF(B3="English","PET (Poly ethylene terephthalate )",IF(B3="中国語","聚对苯二甲酸乙二醇酯 (PET)","PET(ポリエチレンテレフタレート)"))</f>
        <v>PET(ポリエチレンテレフタレート)</v>
      </c>
      <c r="O38" s="159" t="str">
        <f>IF(B3="English","Other thermoplastics",IF(B3="中国語","其他热塑性树脂","その他の熱可塑性樹脂"))</f>
        <v>その他の熱可塑性樹脂</v>
      </c>
      <c r="P38" s="159"/>
      <c r="Q38" s="159"/>
      <c r="R38" s="103" t="str">
        <f>IF(B3="English","Cadmium plating",IF(B3="中国語","镀镉","カドミウムめっき"))</f>
        <v>カドミウムめっき</v>
      </c>
      <c r="S38" s="103"/>
      <c r="T38" s="103"/>
      <c r="U38" s="159"/>
      <c r="V38" s="159"/>
      <c r="W38" s="159"/>
      <c r="X38" s="159"/>
    </row>
    <row r="39" spans="2:24" s="156" customFormat="1" ht="12" hidden="1" customHeight="1">
      <c r="B39" s="156" t="str">
        <f>IF(B3="English","Accelerator",IF(B3="中国語","催化剂","促進剤"))</f>
        <v>促進剤</v>
      </c>
      <c r="M39" s="159" t="str">
        <f>IF(B3="English","Zinc and Zinc alloys",IF(B3="中国語","锌合金","亜鉛合金"))</f>
        <v>亜鉛合金</v>
      </c>
      <c r="N39" s="159" t="str">
        <f>IF(B3="English","PPE ((Modified) polyphenylene ether)",IF(B3="中国語","聚苯醚 (PPE)","PPE"))</f>
        <v>PPE</v>
      </c>
      <c r="O39" s="159" t="str">
        <f>IF(B3="English","PUR (Polyurethane)",IF(B3="中国語","聚氨酯 (PUR)","ポリウレタン"))</f>
        <v>ポリウレタン</v>
      </c>
      <c r="P39" s="159"/>
      <c r="Q39" s="159"/>
      <c r="R39" s="103"/>
      <c r="S39" s="103"/>
      <c r="T39" s="103"/>
      <c r="U39" s="159"/>
      <c r="V39" s="159"/>
      <c r="W39" s="159"/>
      <c r="X39" s="159"/>
    </row>
    <row r="40" spans="2:24" s="156" customFormat="1" ht="12" hidden="1" customHeight="1">
      <c r="B40" s="156" t="str">
        <f>IF(B3="English","Filler",IF(B3="中国語","填料","充填剤"))</f>
        <v>充填剤</v>
      </c>
      <c r="M40" s="159" t="str">
        <f>IF(B3="English","Nickel and Nickel alloys",IF(B3="中国語","镍合金","ニッケル合金"))</f>
        <v>ニッケル合金</v>
      </c>
      <c r="N40" s="159" t="str">
        <f>IF(B3="English","Thermoplastic elastomer",IF(B3="中国語","热塑性弹性体","熱可塑性エラストマ"))</f>
        <v>熱可塑性エラストマ</v>
      </c>
      <c r="O40" s="159" t="str">
        <f>IF(B3="English","UP (Unsaturated polyester)",IF(B3="中国語","不饱和聚酯 (UP)","不飽和ポリエステル"))</f>
        <v>不飽和ポリエステル</v>
      </c>
      <c r="P40" s="159"/>
      <c r="Q40" s="159"/>
      <c r="R40" s="103"/>
      <c r="S40" s="103"/>
      <c r="T40" s="103"/>
      <c r="U40" s="159"/>
      <c r="V40" s="159"/>
      <c r="W40" s="159"/>
      <c r="X40" s="159"/>
    </row>
    <row r="41" spans="2:24" s="156" customFormat="1" ht="12" hidden="1" customHeight="1">
      <c r="B41" s="156" t="str">
        <f>IF(B3="English","MoldbLubricant",IF(B3="中国語","脱模剂","離型剤 "))</f>
        <v xml:space="preserve">離型剤 </v>
      </c>
      <c r="M41" s="159" t="str">
        <f>IF(B3="English","Lead and Lead alloys",IF(B3="中国語","铅,铅合金","鉛,鉛合金"))</f>
        <v>鉛,鉛合金</v>
      </c>
      <c r="N41" s="159" t="str">
        <f>IF(B3="English","Other thermoplastics",IF(B3="中国語","其他热塑性树脂","その他の熱可塑性樹脂"))</f>
        <v>その他の熱可塑性樹脂</v>
      </c>
      <c r="O41" s="159" t="str">
        <f>IF(B3="English","EP (Epoxy resin)",IF(B3="中国語","环氧树脂 (EP)","エポキシ樹脂"))</f>
        <v>エポキシ樹脂</v>
      </c>
      <c r="P41" s="159"/>
      <c r="Q41" s="159"/>
      <c r="R41" s="103"/>
      <c r="S41" s="103"/>
      <c r="T41" s="103"/>
      <c r="U41" s="159"/>
      <c r="V41" s="159"/>
      <c r="W41" s="159"/>
      <c r="X41" s="159"/>
    </row>
    <row r="42" spans="2:24" s="156" customFormat="1" ht="12" hidden="1" customHeight="1">
      <c r="B42" s="156" t="str">
        <f>IF(B3="English","Plasticizer",IF(B3="中国語","可塑剂","可塑剤"))</f>
        <v>可塑剤</v>
      </c>
      <c r="M42" s="159" t="str">
        <f>IF(B3="English","Sn-Pb solder",IF(B3="中国語","有铅焊锡","含鉛はんだ"))</f>
        <v>含鉛はんだ</v>
      </c>
      <c r="N42" s="159" t="str">
        <f>IF(B3="English","PUR (Polyurethane)",IF(B3="中国語","聚氨酯 (PUR)","ポリウレタン"))</f>
        <v>ポリウレタン</v>
      </c>
      <c r="O42" s="159" t="str">
        <f>IF(B3="English","Others (Cured resin or duromers)",IF(B3="中国語","其他固性树脂","その他の硬化性樹脂"))</f>
        <v>その他の硬化性樹脂</v>
      </c>
      <c r="P42" s="159"/>
      <c r="Q42" s="159"/>
      <c r="R42" s="103"/>
      <c r="S42" s="103"/>
      <c r="T42" s="103"/>
      <c r="U42" s="159"/>
      <c r="V42" s="159"/>
      <c r="W42" s="159"/>
      <c r="X42" s="159"/>
    </row>
    <row r="43" spans="2:24" s="156" customFormat="1" ht="12" hidden="1" customHeight="1">
      <c r="B43" s="156" t="str">
        <f>IF(B3="English","Reinforcement",IF(B3="中国語","强化剂","強化剤"))</f>
        <v>強化剤</v>
      </c>
      <c r="M43" s="159" t="str">
        <f>IF(B3="English","Lead-free solder",IF(B3="中国語","无铅焊锡","非鉛はんだ"))</f>
        <v>非鉛はんだ</v>
      </c>
      <c r="N43" s="159" t="str">
        <f>IF(B3="English","UP (Unsaturated polyester)",IF(B3="中国語","不饱和聚酯 (UP)","不飽和ポリエステル"))</f>
        <v>不飽和ポリエステル</v>
      </c>
      <c r="O43" s="159" t="str">
        <f>IF(B3="English","Others (Rubber/non-thermoplastic Elastomer)",IF(B3="中国語","其他橡胶（非热塑性）、弹性体","（熱可塑でない）エラストマー／エラストマー複合"))</f>
        <v>（熱可塑でない）エラストマー／エラストマー複合</v>
      </c>
      <c r="P43" s="159"/>
      <c r="Q43" s="159"/>
      <c r="R43" s="103"/>
      <c r="S43" s="103"/>
      <c r="T43" s="103"/>
      <c r="U43" s="159"/>
      <c r="V43" s="159"/>
      <c r="W43" s="159"/>
      <c r="X43" s="159"/>
    </row>
    <row r="44" spans="2:24" s="156" customFormat="1" ht="12" hidden="1" customHeight="1">
      <c r="B44" s="156" t="str">
        <f>IF(B3="English","Retarder",IF(B3="中国語","抑制剂","抑制剤"))</f>
        <v>抑制剤</v>
      </c>
      <c r="M44" s="159" t="str">
        <f>IF(B3="English","Gold",IF(B3="中国語","特殊金属 (金)","特殊金属(金）"))</f>
        <v>特殊金属(金）</v>
      </c>
      <c r="N44" s="159" t="str">
        <f>IF(B3="English","EP (Epoxy resin)",IF(B3="中国語","环氧树脂 (EP)","エポキシ樹脂"))</f>
        <v>エポキシ樹脂</v>
      </c>
      <c r="O44" s="159" t="str">
        <f>IF(B3="English","Polymeric compounds",IF(B3="中国語","高分子复合材料","高分子複合材"))</f>
        <v>高分子複合材</v>
      </c>
      <c r="P44" s="159"/>
      <c r="Q44" s="159"/>
      <c r="R44" s="103"/>
      <c r="S44" s="103"/>
      <c r="T44" s="103"/>
      <c r="U44" s="159"/>
      <c r="V44" s="159"/>
      <c r="W44" s="159"/>
      <c r="X44" s="159"/>
    </row>
    <row r="45" spans="2:24" s="156" customFormat="1" ht="12" hidden="1" customHeight="1">
      <c r="B45" s="156" t="str">
        <f>IF(B3="English","Stabiliser",IF(B3="中国語","稳定剂","安定剤"))</f>
        <v>安定剤</v>
      </c>
      <c r="M45" s="159" t="str">
        <f>IF(B3="English","Platinum / rhodium",IF(B3="中国語","特殊金属 (铂、铑)","特殊金属（白金、ロジウム）"))</f>
        <v>特殊金属（白金、ロジウム）</v>
      </c>
      <c r="N45" s="159" t="str">
        <f>IF(B3="English","Others (Cured resin or duromers)",IF(B3="中国語","其他固性树脂","その他の硬化性樹脂"))</f>
        <v>その他の硬化性樹脂</v>
      </c>
      <c r="O45" s="159" t="str">
        <f>IF(B3="English","Lubricants,Brake fluid, etc",IF(B3="中国語","液体(润滑剂、制动液等)","潤滑剤、ブレーキフルード、他"))</f>
        <v>潤滑剤、ブレーキフルード、他</v>
      </c>
      <c r="P45" s="159"/>
      <c r="Q45" s="159"/>
      <c r="R45" s="103"/>
      <c r="S45" s="103"/>
      <c r="T45" s="103"/>
      <c r="U45" s="159"/>
      <c r="V45" s="159"/>
      <c r="W45" s="159"/>
      <c r="X45" s="159"/>
    </row>
    <row r="46" spans="2:24" s="156" customFormat="1" ht="12" hidden="1" customHeight="1">
      <c r="B46" s="156" t="str">
        <f>IF(B3="English","Vulcanizing Agent",IF(B3="中国語","硫化剂","加硫剤"))</f>
        <v>加硫剤</v>
      </c>
      <c r="M46" s="159" t="str">
        <f>IF(B3="English","Other special metals",IF(B3="中国語","其他特殊金属(银、钯)","その他の特殊金属（銀、パラジウム等）"))</f>
        <v>その他の特殊金属（銀、パラジウム等）</v>
      </c>
      <c r="N46" s="159" t="str">
        <f>IF(B3="English","Others (Rubber/non-thermoplastic Elastomer)",IF(B3="中国語","其他橡胶（非热塑性）、弹性体","（熱可塑でない）エラストマー／エラストマー複合"))</f>
        <v>（熱可塑でない）エラストマー／エラストマー複合</v>
      </c>
      <c r="O46" s="159" t="str">
        <f>IF(B3="English","Others (Powder,etc)",IF(B3="中国語","其他材料（粉末等）","その他材料（粉体ほか）"))</f>
        <v>その他材料（粉体ほか）</v>
      </c>
      <c r="P46" s="159"/>
      <c r="Q46" s="159"/>
      <c r="R46" s="103"/>
      <c r="S46" s="103"/>
      <c r="T46" s="103"/>
      <c r="U46" s="159"/>
      <c r="V46" s="159"/>
      <c r="W46" s="159"/>
      <c r="X46" s="159"/>
    </row>
    <row r="47" spans="2:24" s="156" customFormat="1" ht="12" hidden="1" customHeight="1">
      <c r="B47" s="156" t="str">
        <f>IF(B3="English","Fixing Agent",IF(B3="中国語","黏着剂","固着剤"))</f>
        <v>固着剤</v>
      </c>
      <c r="M47" s="159" t="str">
        <f>IF(B3="English","Titanium and titanium alloys",IF(B3="中国語","钛,钛合金","チタン,チタン合金"))</f>
        <v>チタン,チタン合金</v>
      </c>
      <c r="N47" s="159" t="str">
        <f>IF(B3="English","Polymeric compounds",IF(B3="中国語","高分子复合材料","高分子複合材"))</f>
        <v>高分子複合材</v>
      </c>
      <c r="O47" s="159"/>
      <c r="P47" s="159"/>
      <c r="Q47" s="159"/>
      <c r="R47" s="103"/>
      <c r="S47" s="103"/>
      <c r="T47" s="103"/>
      <c r="U47" s="159"/>
      <c r="V47" s="159"/>
      <c r="W47" s="159"/>
      <c r="X47" s="159"/>
    </row>
    <row r="48" spans="2:24" s="156" customFormat="1" ht="12" hidden="1" customHeight="1">
      <c r="B48" s="156" t="str">
        <f>IF(B3="English","Hardening Agent",IF(B3="中国語","硬化剂","硬化剤"))</f>
        <v>硬化剤</v>
      </c>
      <c r="M48" s="159" t="str">
        <f>IF(B3="English","Other nonferrous metals",IF(B3="中国語","其他有色金属","その他の非鉄金属"))</f>
        <v>その他の非鉄金属</v>
      </c>
      <c r="N48" s="159" t="str">
        <f>IF(B3="English","Plastics (in polymeric compounds)",IF(B3="中国語","高分子复合材中所含树脂","高分子複合材に含まれる樹脂"))</f>
        <v>高分子複合材に含まれる樹脂</v>
      </c>
      <c r="O48" s="159"/>
      <c r="P48" s="159"/>
      <c r="Q48" s="159"/>
      <c r="R48" s="103"/>
      <c r="S48" s="103"/>
      <c r="T48" s="103"/>
      <c r="U48" s="159"/>
      <c r="V48" s="159"/>
      <c r="W48" s="159"/>
      <c r="X48" s="159"/>
    </row>
    <row r="49" spans="2:24" s="156" customFormat="1" ht="12" hidden="1" customHeight="1">
      <c r="B49" s="156" t="str">
        <f>IF(B3="English","Cross-Linking Agent",IF(B3="中国語","交联剂","架橋剤"))</f>
        <v>架橋剤</v>
      </c>
      <c r="M49" s="159" t="str">
        <f>IF(B3="English","Ceramics",IF(B3="中国語","陶瓷","セラミック"))</f>
        <v>セラミック</v>
      </c>
      <c r="N49" s="159" t="str">
        <f>IF(B3="English","Textiles (in polymeric compounds)",IF(B3="中国語","高分子复合材中所含纤维","高分子複合材に含まれる繊維"))</f>
        <v>高分子複合材に含まれる繊維</v>
      </c>
      <c r="O49" s="159"/>
      <c r="P49" s="159"/>
      <c r="Q49" s="159"/>
      <c r="R49" s="103"/>
      <c r="S49" s="103"/>
      <c r="T49" s="103"/>
      <c r="U49" s="159"/>
      <c r="V49" s="159"/>
      <c r="W49" s="159"/>
      <c r="X49" s="159"/>
    </row>
    <row r="50" spans="2:24" s="156" customFormat="1" ht="12" hidden="1" customHeight="1">
      <c r="B50" s="156" t="str">
        <f>IF(B3="English","Lubricant Agent",IF(B3="中国語","润滑剂","潤滑剤"))</f>
        <v>潤滑剤</v>
      </c>
      <c r="M50" s="159" t="str">
        <f>IF(B3="English","Glass",IF(B3="中国語","玻璃","ガラス"))</f>
        <v>ガラス</v>
      </c>
      <c r="N50" s="159"/>
      <c r="O50" s="159"/>
      <c r="P50" s="159"/>
      <c r="Q50" s="159"/>
      <c r="R50" s="103"/>
      <c r="S50" s="103"/>
      <c r="T50" s="103"/>
      <c r="U50" s="159"/>
      <c r="V50" s="159"/>
      <c r="W50" s="159"/>
      <c r="X50" s="159"/>
    </row>
    <row r="51" spans="2:24" s="156" customFormat="1" ht="12" hidden="1" customHeight="1">
      <c r="B51" s="156" t="str">
        <f>IF(B3="English","Coupling Agent",IF(B3="中国語","耦合剂","結合剤"))</f>
        <v>結合剤</v>
      </c>
      <c r="M51" s="159" t="str">
        <f>IF(B3="English","Other inorganic compounds",IF(B3="中国語","其它无机化合物","その他無機化合物"))</f>
        <v>その他無機化合物</v>
      </c>
      <c r="N51" s="159"/>
      <c r="O51" s="159"/>
      <c r="P51" s="159"/>
      <c r="Q51" s="159"/>
      <c r="R51" s="103"/>
      <c r="S51" s="103"/>
      <c r="T51" s="103"/>
      <c r="U51" s="159"/>
      <c r="V51" s="159"/>
      <c r="W51" s="159"/>
      <c r="X51" s="159"/>
    </row>
    <row r="52" spans="2:24" s="156" customFormat="1" ht="12" hidden="1" customHeight="1">
      <c r="B52" s="156" t="str">
        <f>IF(B3="English","Initiator",IF(B3="中国語","聚合引发剂","重合開始剤"))</f>
        <v>重合開始剤</v>
      </c>
      <c r="M52" s="159" t="str">
        <f>IF(B3="English","filled Thermoplastics",IF(B3="中国語","含有填料带（填料）的热可塑树脂","フィラー(充填材)を含有する熱可塑性樹脂"))</f>
        <v>フィラー(充填材)を含有する熱可塑性樹脂</v>
      </c>
      <c r="N52" s="159"/>
      <c r="O52" s="159"/>
      <c r="P52" s="159"/>
      <c r="Q52" s="159"/>
      <c r="R52" s="103"/>
      <c r="S52" s="103"/>
      <c r="T52" s="103"/>
      <c r="U52" s="159"/>
      <c r="V52" s="159"/>
      <c r="W52" s="159"/>
      <c r="X52" s="159"/>
    </row>
    <row r="53" spans="2:24" s="156" customFormat="1" ht="12" hidden="1" customHeight="1">
      <c r="B53" s="156" t="str">
        <f>IF(B3="English","Antistatic Agent",IF(B3="中国語","防静电剂","帯電防止剤"))</f>
        <v>帯電防止剤</v>
      </c>
      <c r="M53" s="159" t="str">
        <f>IF(B3="English","PE (Polyethylene)",IF(B3="中国語","聚乙烯(PE)","PE(ポリエチレン)"))</f>
        <v>PE(ポリエチレン)</v>
      </c>
      <c r="N53" s="159"/>
      <c r="O53" s="159"/>
      <c r="P53" s="159"/>
      <c r="Q53" s="159"/>
      <c r="R53" s="103"/>
      <c r="S53" s="103"/>
      <c r="T53" s="103"/>
      <c r="U53" s="159"/>
      <c r="V53" s="159"/>
      <c r="W53" s="159"/>
      <c r="X53" s="159"/>
    </row>
    <row r="54" spans="2:24" s="156" customFormat="1" ht="12" hidden="1" customHeight="1">
      <c r="B54" s="156" t="str">
        <f>IF(B3="English","Antioxidizing Agent",IF(B3="中国語","防氧化剂","酸化防止剤"))</f>
        <v>酸化防止剤</v>
      </c>
      <c r="M54" s="159" t="str">
        <f>IF(B3="English","PP(Polypropylene)",IF(B3="中国語","聚丙烯 (PP)","PP(ポリプロピレン) "))</f>
        <v xml:space="preserve">PP(ポリプロピレン) </v>
      </c>
      <c r="N54" s="159"/>
      <c r="O54" s="159"/>
      <c r="P54" s="159"/>
      <c r="Q54" s="159"/>
      <c r="R54" s="103"/>
      <c r="S54" s="103"/>
      <c r="T54" s="103"/>
      <c r="U54" s="159"/>
      <c r="V54" s="159"/>
      <c r="W54" s="159"/>
      <c r="X54" s="159"/>
    </row>
    <row r="55" spans="2:24" s="156" customFormat="1" ht="12" hidden="1" customHeight="1">
      <c r="B55" s="156" t="str">
        <f>IF(B3="English","Electric Characteristic Improvement",IF(B3="中国語","改善电气特性","電気特性向上"))</f>
        <v>電気特性向上</v>
      </c>
      <c r="M55" s="159" t="str">
        <f>IF(B3="English","PS (Polystyrene)",IF(B3="聚苯乙烯 (PS)","部位名","PS(ポリスチレン)"))</f>
        <v>PS(ポリスチレン)</v>
      </c>
      <c r="N55" s="159"/>
      <c r="O55" s="159"/>
      <c r="P55" s="159"/>
      <c r="Q55" s="159"/>
      <c r="R55" s="103"/>
      <c r="S55" s="103"/>
      <c r="T55" s="103"/>
      <c r="U55" s="159"/>
      <c r="V55" s="159"/>
      <c r="W55" s="159"/>
      <c r="X55" s="159"/>
    </row>
    <row r="56" spans="2:24" s="156" customFormat="1" ht="12" hidden="1" customHeight="1">
      <c r="B56" s="156" t="str">
        <f>IF(B3="English","Optical Characterist Improvement",IF(B3="中国語","改善光学特性","光学特性向上"))</f>
        <v>光学特性向上</v>
      </c>
      <c r="M56" s="159" t="str">
        <f>IF(B3="English","PVC (Poly vinyl chloride)",IF(B3="中国語","聚氯乙烯 (PVC)","PVC(ポリ塩化ビニル)"))</f>
        <v>PVC(ポリ塩化ビニル)</v>
      </c>
      <c r="N56" s="159"/>
      <c r="O56" s="159"/>
      <c r="P56" s="159"/>
      <c r="Q56" s="159"/>
      <c r="R56" s="103"/>
      <c r="S56" s="103"/>
      <c r="T56" s="103"/>
      <c r="U56" s="159"/>
      <c r="V56" s="159"/>
      <c r="W56" s="159"/>
      <c r="X56" s="159"/>
    </row>
    <row r="57" spans="2:24" s="156" customFormat="1" ht="12" hidden="1" customHeight="1">
      <c r="B57" s="156" t="str">
        <f>IF(B3="English","Mechanical Characteristic Improvement",IF(B3="中国語","盖上机械特性","機械特性向上"))</f>
        <v>機械特性向上</v>
      </c>
      <c r="M57" s="159" t="str">
        <f>IF(B3="English","PC (Polycarbonate)",IF(B3="中国語","聚碳酸酯 (PC)","PC(ポリカーボネート)"))</f>
        <v>PC(ポリカーボネート)</v>
      </c>
      <c r="N57" s="159"/>
      <c r="O57" s="159"/>
      <c r="P57" s="159"/>
      <c r="Q57" s="159"/>
      <c r="R57" s="103"/>
      <c r="S57" s="103"/>
      <c r="T57" s="103"/>
      <c r="U57" s="159"/>
      <c r="V57" s="159"/>
      <c r="W57" s="159"/>
      <c r="X57" s="159"/>
    </row>
    <row r="58" spans="2:24" s="156" customFormat="1" ht="12" hidden="1" customHeight="1">
      <c r="B58" s="156" t="str">
        <f>IF(B3="English","Flame Resistance Improvement",IF(B3="中国語","改善阻燃性","難燃性向上"))</f>
        <v>難燃性向上</v>
      </c>
      <c r="M58" s="159" t="str">
        <f>IF(B3="English","POM (Polyacetal)",IF(B3="中国語","聚缩醛 (POM)","POM(ポリアセタール)"))</f>
        <v>POM(ポリアセタール)</v>
      </c>
      <c r="N58" s="159"/>
      <c r="O58" s="159"/>
      <c r="P58" s="159"/>
      <c r="Q58" s="159"/>
      <c r="R58" s="103"/>
      <c r="S58" s="103"/>
      <c r="T58" s="103"/>
      <c r="U58" s="159"/>
      <c r="V58" s="159"/>
      <c r="W58" s="159"/>
      <c r="X58" s="159"/>
    </row>
    <row r="59" spans="2:24" s="156" customFormat="1" ht="12" hidden="1" customHeight="1">
      <c r="B59" s="156" t="str">
        <f>IF(B3="English","Thermal Stability",IF(B3="中国語","改善热稳定性","熱安定性向上"))</f>
        <v>熱安定性向上</v>
      </c>
      <c r="M59" s="159" t="str">
        <f>IF(B3="English","A(B)S Poly(acrylonitrile (-butadiene)-styrene)",IF(B3="中国語","丙烯腈丁二烯苯乙烯树脂 (ABS)","ABS"))</f>
        <v>ABS</v>
      </c>
      <c r="N59" s="159"/>
      <c r="O59" s="159"/>
      <c r="P59" s="159"/>
      <c r="Q59" s="159"/>
      <c r="R59" s="103"/>
      <c r="S59" s="103"/>
      <c r="T59" s="103"/>
      <c r="U59" s="159"/>
      <c r="V59" s="159"/>
      <c r="W59" s="159"/>
      <c r="X59" s="159"/>
    </row>
    <row r="60" spans="2:24" s="156" customFormat="1" ht="12" hidden="1" customHeight="1">
      <c r="B60" s="156" t="str">
        <f>IF(B3="English","Machining Improvement",IF(B3="中国語","改善加工性","加工性向上"))</f>
        <v>加工性向上</v>
      </c>
      <c r="M60" s="159" t="str">
        <f>IF(B3="English","PA (Polyamide)",IF(B3="中国語","聚酰胺 (PA)","PA(ポリアミド)"))</f>
        <v>PA(ポリアミド)</v>
      </c>
      <c r="N60" s="159"/>
      <c r="O60" s="159"/>
      <c r="P60" s="159"/>
      <c r="Q60" s="159"/>
      <c r="R60" s="103"/>
      <c r="S60" s="103"/>
      <c r="T60" s="103"/>
      <c r="U60" s="159"/>
      <c r="V60" s="159"/>
      <c r="W60" s="159"/>
      <c r="X60" s="159"/>
    </row>
    <row r="61" spans="2:24" s="156" customFormat="1" ht="12" hidden="1" customHeight="1">
      <c r="B61" s="156" t="str">
        <f>IF(B3="English","Corrosion Resistance Improvement",IF(B3="中国語","改善防锈性","防錆性向上"))</f>
        <v>防錆性向上</v>
      </c>
      <c r="M61" s="159" t="str">
        <f>IF(B3="English","PET (Poly ethylene terephthalate )",IF(B3="中国語","聚对苯二甲酸乙二醇酯 (PET)","PET(ポリエチレンテレフタレート)"))</f>
        <v>PET(ポリエチレンテレフタレート)</v>
      </c>
      <c r="N61" s="159"/>
      <c r="O61" s="159"/>
      <c r="P61" s="159"/>
      <c r="Q61" s="159"/>
      <c r="R61" s="103"/>
      <c r="S61" s="103"/>
      <c r="T61" s="103"/>
      <c r="U61" s="159"/>
      <c r="V61" s="159"/>
      <c r="W61" s="159"/>
      <c r="X61" s="159"/>
    </row>
    <row r="62" spans="2:24" s="156" customFormat="1" ht="12" hidden="1" customHeight="1">
      <c r="B62" s="156" t="str">
        <f>IF(B3="English","Moistureproof Improvement",IF(B3="中国語","改善防湿性","防湿性向上"))</f>
        <v>防湿性向上</v>
      </c>
      <c r="M62" s="159" t="str">
        <f>IF(B3="English","PPE ((Modified) polyphenylene ether)",IF(B3="中国語","聚苯醚 (PPE)","PPE"))</f>
        <v>PPE</v>
      </c>
      <c r="N62" s="159"/>
      <c r="O62" s="159"/>
      <c r="P62" s="159"/>
      <c r="Q62" s="159"/>
      <c r="R62" s="103"/>
      <c r="S62" s="103"/>
      <c r="T62" s="103"/>
      <c r="U62" s="159"/>
      <c r="V62" s="159"/>
      <c r="W62" s="159"/>
      <c r="X62" s="159"/>
    </row>
    <row r="63" spans="2:24" s="156" customFormat="1" ht="12" hidden="1" customHeight="1">
      <c r="B63" s="156" t="str">
        <f>IF(B3="English","Insulation Improvement",IF(B3="中国語","改善绝缘性","絶縁性向上"))</f>
        <v>絶縁性向上</v>
      </c>
      <c r="M63" s="159" t="str">
        <f>IF(B3="English","Thermoplastic elastomer",IF(B3="中国語","热塑性弹性体","熱可塑性エラストマ"))</f>
        <v>熱可塑性エラストマ</v>
      </c>
      <c r="N63" s="159"/>
      <c r="O63" s="159"/>
      <c r="P63" s="159"/>
      <c r="Q63" s="159"/>
      <c r="R63" s="103"/>
      <c r="S63" s="103"/>
      <c r="T63" s="103"/>
      <c r="U63" s="159"/>
      <c r="V63" s="159"/>
      <c r="W63" s="159"/>
      <c r="X63" s="159"/>
    </row>
    <row r="64" spans="2:24" s="156" customFormat="1" ht="12" hidden="1" customHeight="1">
      <c r="B64" s="156" t="str">
        <f>IF(B3="English","Conduction Improvement",IF(B3="中国語","改善导电性","導電性向上"))</f>
        <v>導電性向上</v>
      </c>
      <c r="M64" s="159" t="str">
        <f>IF(B3="English","Other thermoplastics",IF(B3="中国語","其他热塑性树脂","その他の熱可塑性樹脂"))</f>
        <v>その他の熱可塑性樹脂</v>
      </c>
      <c r="N64" s="159"/>
      <c r="O64" s="159"/>
      <c r="P64" s="159"/>
      <c r="Q64" s="159"/>
      <c r="R64" s="103"/>
      <c r="S64" s="103"/>
      <c r="T64" s="103"/>
      <c r="U64" s="159"/>
      <c r="V64" s="159"/>
      <c r="W64" s="159"/>
      <c r="X64" s="159"/>
    </row>
    <row r="65" spans="1:24" s="156" customFormat="1" ht="12" hidden="1" customHeight="1">
      <c r="B65" s="156" t="str">
        <f>IF(B3="English","Decay Resistance Improvement",IF(B3="中国語","改善耐用性","耐久性向上"))</f>
        <v>耐久性向上</v>
      </c>
      <c r="M65" s="159" t="str">
        <f>IF(B3="English","PUR (Polyurethane)",IF(B3="中国語","聚氨酯 (PUR)","ポリウレタン"))</f>
        <v>ポリウレタン</v>
      </c>
      <c r="N65" s="159"/>
      <c r="O65" s="159"/>
      <c r="P65" s="159"/>
      <c r="Q65" s="159"/>
      <c r="R65" s="103"/>
      <c r="S65" s="103"/>
      <c r="T65" s="103"/>
      <c r="U65" s="159"/>
      <c r="V65" s="159"/>
      <c r="W65" s="159"/>
      <c r="X65" s="159"/>
    </row>
    <row r="66" spans="1:24" s="156" customFormat="1" ht="12" hidden="1" customHeight="1">
      <c r="B66" s="156" t="str">
        <f>IF(B3="English","Oil Resistance Improvement",IF(B3="中国語","改善耐油性","耐油性向上"))</f>
        <v>耐油性向上</v>
      </c>
      <c r="M66" s="159" t="str">
        <f>IF(B3="English","UP (Unsaturated polyester)",IF(B3="中国語","不饱和聚酯 (UP)","不飽和ポリエステル"))</f>
        <v>不飽和ポリエステル</v>
      </c>
      <c r="N66" s="159"/>
      <c r="O66" s="159"/>
      <c r="P66" s="159"/>
      <c r="Q66" s="159"/>
      <c r="R66" s="103"/>
      <c r="S66" s="103"/>
      <c r="T66" s="103"/>
      <c r="U66" s="159"/>
      <c r="V66" s="159"/>
      <c r="W66" s="159"/>
      <c r="X66" s="159"/>
    </row>
    <row r="67" spans="1:24" s="156" customFormat="1" ht="12" hidden="1" customHeight="1">
      <c r="B67" s="156" t="str">
        <f>IF(B3="English","Burning Resistance Improvement",IF(B3="中国語","改善耐热性","耐熱性向上"))</f>
        <v>耐熱性向上</v>
      </c>
      <c r="M67" s="159" t="str">
        <f>IF(B3="English","EP (Epoxy resin)",IF(B3="中国語","环氧树脂 (EP)","エポキシ樹脂"))</f>
        <v>エポキシ樹脂</v>
      </c>
      <c r="N67" s="159"/>
      <c r="O67" s="159"/>
      <c r="P67" s="159"/>
      <c r="Q67" s="159"/>
      <c r="R67" s="103"/>
      <c r="S67" s="103"/>
      <c r="T67" s="103"/>
      <c r="U67" s="159"/>
      <c r="V67" s="159"/>
      <c r="W67" s="159"/>
      <c r="X67" s="159"/>
    </row>
    <row r="68" spans="1:24" s="156" customFormat="1" ht="12" hidden="1" customHeight="1">
      <c r="B68" s="156" t="str">
        <f>IF(B3="English","Waterproof Improvement",IF(B3="中国語","改善耐水性","耐水性向上"))</f>
        <v>耐水性向上</v>
      </c>
      <c r="M68" s="159" t="str">
        <f>IF(B3="English","Others (Cured resin or duromers)",IF(B3="中国語","其他固性树脂","その他の硬化性樹脂"))</f>
        <v>その他の硬化性樹脂</v>
      </c>
      <c r="N68" s="159"/>
      <c r="O68" s="159"/>
      <c r="P68" s="159"/>
      <c r="Q68" s="159"/>
      <c r="R68" s="103"/>
      <c r="S68" s="103"/>
      <c r="T68" s="103"/>
      <c r="U68" s="159"/>
      <c r="V68" s="159"/>
      <c r="W68" s="159"/>
      <c r="X68" s="159"/>
    </row>
    <row r="69" spans="1:24" s="156" customFormat="1" ht="12" hidden="1" customHeight="1">
      <c r="B69" s="156" t="str">
        <f>IF(B3="English","Corporate Secret",IF(B3="中国語","企业秘密","企業秘密"))</f>
        <v>企業秘密</v>
      </c>
      <c r="M69" s="159" t="str">
        <f>IF(B3="English","Others (Rubber/non-thermoplastic Elastomer)",IF(B3="中国語","其他橡胶（非热塑性）、弹性体","（熱可塑でない）エラストマー／エラストマー複合"))</f>
        <v>（熱可塑でない）エラストマー／エラストマー複合</v>
      </c>
      <c r="N69" s="159"/>
      <c r="O69" s="159"/>
      <c r="P69" s="159"/>
      <c r="Q69" s="159"/>
      <c r="R69" s="103"/>
      <c r="S69" s="103"/>
      <c r="T69" s="103"/>
      <c r="U69" s="159"/>
      <c r="V69" s="159"/>
      <c r="W69" s="159"/>
      <c r="X69" s="159"/>
    </row>
    <row r="70" spans="1:24" s="156" customFormat="1" ht="12" hidden="1" customHeight="1">
      <c r="B70" s="156" t="str">
        <f>IF(B3="English","Others",IF(B3="中国語","不符合","該当無し"))</f>
        <v>該当無し</v>
      </c>
      <c r="M70" s="159" t="str">
        <f>IF(B3="English","Polymeric compounds",IF(B3="中国語","高分子复合材料","高分子複合材"))</f>
        <v>高分子複合材</v>
      </c>
      <c r="N70" s="159"/>
      <c r="O70" s="159"/>
      <c r="P70" s="159"/>
      <c r="Q70" s="159"/>
      <c r="R70" s="103"/>
      <c r="S70" s="103"/>
      <c r="T70" s="103"/>
      <c r="U70" s="159"/>
      <c r="V70" s="159"/>
      <c r="W70" s="159"/>
      <c r="X70" s="159"/>
    </row>
    <row r="71" spans="1:24" s="156" customFormat="1" ht="12" hidden="1" customHeight="1">
      <c r="M71" s="159" t="str">
        <f>IF(B3="English","Plastics (in polymeric compounds)",IF(B3="中国語","高分子复合材中所含树脂","高分子複合材に含まれる樹脂"))</f>
        <v>高分子複合材に含まれる樹脂</v>
      </c>
      <c r="N71" s="159"/>
      <c r="O71" s="159"/>
      <c r="P71" s="159"/>
      <c r="Q71" s="159"/>
      <c r="R71" s="103"/>
      <c r="S71" s="103"/>
      <c r="T71" s="103"/>
      <c r="U71" s="159"/>
      <c r="V71" s="159"/>
      <c r="W71" s="159"/>
      <c r="X71" s="159"/>
    </row>
    <row r="72" spans="1:24" s="156" customFormat="1" ht="12" hidden="1" customHeight="1">
      <c r="M72" s="159" t="str">
        <f>IF(B3="English","Textiles (in polymeric compounds)",IF(B3="中国語","高分子复合材中所含纤维","高分子複合材に含まれる繊維"))</f>
        <v>高分子複合材に含まれる繊維</v>
      </c>
      <c r="N72" s="159"/>
      <c r="O72" s="159"/>
      <c r="P72" s="159"/>
      <c r="Q72" s="159"/>
      <c r="R72" s="103"/>
      <c r="S72" s="103"/>
      <c r="T72" s="103"/>
      <c r="U72" s="159"/>
      <c r="V72" s="159"/>
      <c r="W72" s="159"/>
      <c r="X72" s="159"/>
    </row>
    <row r="73" spans="1:24" s="156" customFormat="1" ht="12" hidden="1" customHeight="1">
      <c r="M73" s="159" t="str">
        <f>IF(B3="English","Wood",IF(B3="中国語","木材","木材"))</f>
        <v>木材</v>
      </c>
      <c r="N73" s="159"/>
      <c r="O73" s="159"/>
      <c r="P73" s="159"/>
      <c r="Q73" s="159"/>
      <c r="R73" s="103"/>
      <c r="S73" s="103"/>
      <c r="T73" s="103"/>
      <c r="U73" s="159"/>
      <c r="V73" s="159"/>
      <c r="W73" s="159"/>
      <c r="X73" s="159"/>
    </row>
    <row r="74" spans="1:24" s="156" customFormat="1" ht="12" hidden="1" customHeight="1">
      <c r="M74" s="159" t="str">
        <f>IF(B3="English","Paper",IF(B3="纸","部位名","紙"))</f>
        <v>紙</v>
      </c>
      <c r="N74" s="159"/>
      <c r="O74" s="159"/>
      <c r="P74" s="159"/>
      <c r="Q74" s="159"/>
      <c r="R74" s="103"/>
      <c r="S74" s="103"/>
      <c r="T74" s="103"/>
      <c r="U74" s="159"/>
      <c r="V74" s="159"/>
      <c r="W74" s="159"/>
      <c r="X74" s="159"/>
    </row>
    <row r="75" spans="1:24" s="156" customFormat="1" ht="12" hidden="1" customHeight="1">
      <c r="M75" s="159" t="str">
        <f>IF(B3="English","Fiber",IF(B3="中国語","纤维","繊維"))</f>
        <v>繊維</v>
      </c>
      <c r="N75" s="159"/>
      <c r="O75" s="159"/>
      <c r="P75" s="159"/>
      <c r="Q75" s="159"/>
      <c r="R75" s="103"/>
      <c r="S75" s="103"/>
      <c r="T75" s="103"/>
      <c r="U75" s="159"/>
      <c r="V75" s="159"/>
      <c r="W75" s="159"/>
      <c r="X75" s="159"/>
    </row>
    <row r="76" spans="1:24" s="156" customFormat="1" ht="12" hidden="1" customHeight="1">
      <c r="M76" s="159" t="str">
        <f>IF(B3="English","Leather",IF(B3="中国語","皮革","皮革"))</f>
        <v>皮革</v>
      </c>
      <c r="N76" s="159"/>
      <c r="O76" s="159"/>
      <c r="P76" s="159"/>
      <c r="Q76" s="159"/>
      <c r="R76" s="103"/>
      <c r="S76" s="103"/>
      <c r="T76" s="103"/>
      <c r="U76" s="159"/>
      <c r="V76" s="159"/>
      <c r="W76" s="159"/>
      <c r="X76" s="159"/>
    </row>
    <row r="77" spans="1:24" ht="10.199999999999999" customHeight="1">
      <c r="A77" s="152"/>
      <c r="B77" s="160"/>
      <c r="C77" s="160"/>
      <c r="D77" s="152"/>
      <c r="E77" s="152"/>
      <c r="F77" s="152"/>
      <c r="G77" s="152"/>
      <c r="H77" s="154"/>
      <c r="I77" s="155"/>
      <c r="J77" s="155"/>
      <c r="K77" s="155"/>
      <c r="L77" s="155"/>
      <c r="R77" s="230"/>
      <c r="S77" s="230"/>
      <c r="T77" s="230"/>
    </row>
    <row r="78" spans="1:24" s="164" customFormat="1" ht="25.5" customHeight="1">
      <c r="A78" s="271" t="s">
        <v>3</v>
      </c>
      <c r="B78" s="273" t="str">
        <f>IF(B3="English","Component Name",IF(B3="中国語","部品名","部品名"))</f>
        <v>部品名</v>
      </c>
      <c r="C78" s="161" t="str">
        <f>IF(B3="English","Quantity",IF(B3="中国語","数量","数"))</f>
        <v>数</v>
      </c>
      <c r="D78" s="254" t="str">
        <f>IF(B3="English","Region Name",IF(B3="中国語","部位名","部位名"))</f>
        <v>部位名</v>
      </c>
      <c r="E78" s="274" t="str">
        <f>IF(B3="English","Material Name",IF(B3="中国語","材料名","材料名"))</f>
        <v>材料名</v>
      </c>
      <c r="F78" s="275"/>
      <c r="G78" s="276"/>
      <c r="H78" s="254" t="str">
        <f>IF(B3="English","Raw material manufacturer",IF(B3="中国語","材料制造商","材料メーカー"))</f>
        <v>材料メーカー</v>
      </c>
      <c r="I78" s="254" t="str">
        <f>IF(B3="English","Model(Type)",IF(C3="中国語"," 型式（Type）","型式（Type）"))</f>
        <v>型式（Type）</v>
      </c>
      <c r="J78" s="256" t="str">
        <f>IF(B3="English","Region Mass",IF(B3="中国語","部位的
质量","部位質量"))</f>
        <v>部位質量</v>
      </c>
      <c r="K78" s="257"/>
      <c r="L78" s="258"/>
      <c r="M78" s="162" t="str">
        <f>IF(B3="English","Total Region Mass",IF(B3="中国語","総部位的
质量","総部位
質量"))</f>
        <v>総部位
質量</v>
      </c>
      <c r="N78" s="269" t="str">
        <f>IF(B3="English","Substance Name",IF(B3="中国語","物质名称","物質名"))</f>
        <v>物質名</v>
      </c>
      <c r="O78" s="269" t="str">
        <f>IF(B3="English","CAS/No.",IF(B3="中国語","CAS番号","CAS番号"))</f>
        <v>CAS番号</v>
      </c>
      <c r="P78" s="269" t="str">
        <f>IF(B3="English","Concentration(wt%)",IF(B3="中国語","含有率(wt%)","含有率(wt%)"))</f>
        <v>含有率(wt%)</v>
      </c>
      <c r="Q78" s="163" t="str">
        <f>IF(B3="English","Substance Mass",IF(B3="中国語","物质的
质量","物質質量"))</f>
        <v>物質質量</v>
      </c>
      <c r="R78" s="269" t="str">
        <f>IF(B3="English","Cause of Use",IF(B3="中国語","使用目的
・用途","使用目的
・用途"))</f>
        <v>使用目的
・用途</v>
      </c>
      <c r="S78" s="265" t="str">
        <f>IF(B3="English","RoHS directive exemption No.",IF(B3="中国語","RoHS指令
适用除外No.","RoHS指令
適用除外.No."))</f>
        <v>RoHS指令
適用除外.No.</v>
      </c>
      <c r="T78" s="267" t="str">
        <f>IF(B3="English","Intentional or Impurity,
Note",IF(B3="中国語","有意/杂质, 
备注","意図的/不純物, 
備考"))</f>
        <v>意図的/不純物, 
備考</v>
      </c>
    </row>
    <row r="79" spans="1:24" s="164" customFormat="1" ht="18.75" customHeight="1">
      <c r="A79" s="272"/>
      <c r="B79" s="255"/>
      <c r="C79" s="165" t="str">
        <f>G22</f>
        <v>pcs</v>
      </c>
      <c r="D79" s="270"/>
      <c r="E79" s="277"/>
      <c r="F79" s="278"/>
      <c r="G79" s="279"/>
      <c r="H79" s="255"/>
      <c r="I79" s="255"/>
      <c r="J79" s="166" t="str">
        <f>E22</f>
        <v>g</v>
      </c>
      <c r="K79" s="167" t="s">
        <v>20</v>
      </c>
      <c r="L79" s="168" t="str">
        <f>G22</f>
        <v>pcs</v>
      </c>
      <c r="M79" s="169" t="str">
        <f>E22</f>
        <v>g</v>
      </c>
      <c r="N79" s="255"/>
      <c r="O79" s="255"/>
      <c r="P79" s="255"/>
      <c r="Q79" s="170" t="str">
        <f>E22</f>
        <v>g</v>
      </c>
      <c r="R79" s="255"/>
      <c r="S79" s="266"/>
      <c r="T79" s="268"/>
    </row>
    <row r="80" spans="1:24" s="164" customFormat="1">
      <c r="A80" s="171">
        <v>1</v>
      </c>
      <c r="B80" s="197"/>
      <c r="C80" s="198"/>
      <c r="D80" s="199"/>
      <c r="E80" s="246"/>
      <c r="F80" s="247"/>
      <c r="G80" s="248"/>
      <c r="H80" s="200"/>
      <c r="I80" s="200"/>
      <c r="J80" s="252"/>
      <c r="K80" s="253"/>
      <c r="L80" s="251"/>
      <c r="M80" s="172" t="str">
        <f t="shared" ref="M80:M99" si="0">IF(J80="","",V80*J80)</f>
        <v/>
      </c>
      <c r="N80" s="201"/>
      <c r="O80" s="197"/>
      <c r="P80" s="202"/>
      <c r="Q80" s="173" t="str">
        <f t="shared" ref="Q80:Q99" si="1">IF(P80="","",W80*P80/100)</f>
        <v/>
      </c>
      <c r="R80" s="69"/>
      <c r="S80" s="208"/>
      <c r="T80" s="209"/>
      <c r="V80" s="174">
        <f>C80</f>
        <v>0</v>
      </c>
      <c r="W80" s="174" t="str">
        <f>M80</f>
        <v/>
      </c>
    </row>
    <row r="81" spans="1:23" s="164" customFormat="1">
      <c r="A81" s="171">
        <f>A80+1</f>
        <v>2</v>
      </c>
      <c r="B81" s="197"/>
      <c r="C81" s="198"/>
      <c r="D81" s="199"/>
      <c r="E81" s="246"/>
      <c r="F81" s="247"/>
      <c r="G81" s="248"/>
      <c r="H81" s="200"/>
      <c r="I81" s="200"/>
      <c r="J81" s="249"/>
      <c r="K81" s="250"/>
      <c r="L81" s="251"/>
      <c r="M81" s="172" t="str">
        <f t="shared" si="0"/>
        <v/>
      </c>
      <c r="N81" s="201"/>
      <c r="O81" s="197"/>
      <c r="P81" s="202"/>
      <c r="Q81" s="173" t="str">
        <f t="shared" si="1"/>
        <v/>
      </c>
      <c r="R81" s="69"/>
      <c r="S81" s="208"/>
      <c r="T81" s="209"/>
      <c r="V81" s="175">
        <f t="shared" ref="V81:V99" si="2">IF(C81="",V80,C81)</f>
        <v>0</v>
      </c>
      <c r="W81" s="175" t="str">
        <f t="shared" ref="W81:W99" si="3">IF(M81="",W80,M81)</f>
        <v/>
      </c>
    </row>
    <row r="82" spans="1:23" s="164" customFormat="1">
      <c r="A82" s="171">
        <f t="shared" ref="A82:A99" si="4">A81+1</f>
        <v>3</v>
      </c>
      <c r="B82" s="197"/>
      <c r="C82" s="198"/>
      <c r="D82" s="199"/>
      <c r="E82" s="246"/>
      <c r="F82" s="247"/>
      <c r="G82" s="248"/>
      <c r="H82" s="200"/>
      <c r="I82" s="200"/>
      <c r="J82" s="249"/>
      <c r="K82" s="250"/>
      <c r="L82" s="251"/>
      <c r="M82" s="172" t="str">
        <f t="shared" si="0"/>
        <v/>
      </c>
      <c r="N82" s="203"/>
      <c r="O82" s="204"/>
      <c r="P82" s="202"/>
      <c r="Q82" s="173" t="str">
        <f t="shared" si="1"/>
        <v/>
      </c>
      <c r="R82" s="69"/>
      <c r="S82" s="208"/>
      <c r="T82" s="209"/>
      <c r="V82" s="175">
        <f t="shared" si="2"/>
        <v>0</v>
      </c>
      <c r="W82" s="175" t="str">
        <f t="shared" si="3"/>
        <v/>
      </c>
    </row>
    <row r="83" spans="1:23" s="164" customFormat="1">
      <c r="A83" s="171">
        <f t="shared" si="4"/>
        <v>4</v>
      </c>
      <c r="B83" s="197"/>
      <c r="C83" s="198"/>
      <c r="D83" s="199"/>
      <c r="E83" s="246"/>
      <c r="F83" s="247"/>
      <c r="G83" s="248"/>
      <c r="H83" s="200"/>
      <c r="I83" s="200"/>
      <c r="J83" s="249"/>
      <c r="K83" s="250"/>
      <c r="L83" s="251"/>
      <c r="M83" s="172" t="str">
        <f t="shared" si="0"/>
        <v/>
      </c>
      <c r="N83" s="203"/>
      <c r="O83" s="205"/>
      <c r="P83" s="202"/>
      <c r="Q83" s="173" t="str">
        <f t="shared" si="1"/>
        <v/>
      </c>
      <c r="R83" s="69"/>
      <c r="S83" s="208"/>
      <c r="T83" s="209"/>
      <c r="V83" s="175">
        <f t="shared" si="2"/>
        <v>0</v>
      </c>
      <c r="W83" s="175" t="str">
        <f t="shared" si="3"/>
        <v/>
      </c>
    </row>
    <row r="84" spans="1:23" s="164" customFormat="1">
      <c r="A84" s="171">
        <f t="shared" si="4"/>
        <v>5</v>
      </c>
      <c r="B84" s="197"/>
      <c r="C84" s="198"/>
      <c r="D84" s="199"/>
      <c r="E84" s="246"/>
      <c r="F84" s="247"/>
      <c r="G84" s="248"/>
      <c r="H84" s="200"/>
      <c r="I84" s="200"/>
      <c r="J84" s="249"/>
      <c r="K84" s="250"/>
      <c r="L84" s="251"/>
      <c r="M84" s="172" t="str">
        <f t="shared" si="0"/>
        <v/>
      </c>
      <c r="N84" s="203"/>
      <c r="O84" s="197"/>
      <c r="P84" s="202"/>
      <c r="Q84" s="173" t="str">
        <f t="shared" si="1"/>
        <v/>
      </c>
      <c r="R84" s="69"/>
      <c r="S84" s="208"/>
      <c r="T84" s="209"/>
      <c r="V84" s="175">
        <f t="shared" si="2"/>
        <v>0</v>
      </c>
      <c r="W84" s="175" t="str">
        <f t="shared" si="3"/>
        <v/>
      </c>
    </row>
    <row r="85" spans="1:23" s="164" customFormat="1">
      <c r="A85" s="171">
        <f t="shared" si="4"/>
        <v>6</v>
      </c>
      <c r="B85" s="197"/>
      <c r="C85" s="198"/>
      <c r="D85" s="197"/>
      <c r="E85" s="246"/>
      <c r="F85" s="247"/>
      <c r="G85" s="248"/>
      <c r="H85" s="200"/>
      <c r="I85" s="200"/>
      <c r="J85" s="249"/>
      <c r="K85" s="250"/>
      <c r="L85" s="251"/>
      <c r="M85" s="172" t="str">
        <f t="shared" si="0"/>
        <v/>
      </c>
      <c r="N85" s="203"/>
      <c r="O85" s="197"/>
      <c r="P85" s="206"/>
      <c r="Q85" s="173" t="str">
        <f t="shared" si="1"/>
        <v/>
      </c>
      <c r="R85" s="69"/>
      <c r="S85" s="208"/>
      <c r="T85" s="209"/>
      <c r="V85" s="175">
        <f t="shared" si="2"/>
        <v>0</v>
      </c>
      <c r="W85" s="175" t="str">
        <f t="shared" si="3"/>
        <v/>
      </c>
    </row>
    <row r="86" spans="1:23" s="164" customFormat="1">
      <c r="A86" s="171">
        <f t="shared" si="4"/>
        <v>7</v>
      </c>
      <c r="B86" s="197"/>
      <c r="C86" s="198"/>
      <c r="D86" s="199"/>
      <c r="E86" s="246"/>
      <c r="F86" s="247"/>
      <c r="G86" s="248"/>
      <c r="H86" s="200"/>
      <c r="I86" s="200"/>
      <c r="J86" s="249"/>
      <c r="K86" s="250"/>
      <c r="L86" s="251"/>
      <c r="M86" s="172" t="str">
        <f t="shared" si="0"/>
        <v/>
      </c>
      <c r="N86" s="203"/>
      <c r="O86" s="197"/>
      <c r="P86" s="206"/>
      <c r="Q86" s="173" t="str">
        <f t="shared" si="1"/>
        <v/>
      </c>
      <c r="R86" s="69"/>
      <c r="S86" s="208"/>
      <c r="T86" s="209"/>
      <c r="V86" s="175">
        <f t="shared" si="2"/>
        <v>0</v>
      </c>
      <c r="W86" s="175" t="str">
        <f t="shared" si="3"/>
        <v/>
      </c>
    </row>
    <row r="87" spans="1:23" s="164" customFormat="1">
      <c r="A87" s="171">
        <f t="shared" si="4"/>
        <v>8</v>
      </c>
      <c r="B87" s="197"/>
      <c r="C87" s="198"/>
      <c r="D87" s="199"/>
      <c r="E87" s="246"/>
      <c r="F87" s="247"/>
      <c r="G87" s="248"/>
      <c r="H87" s="200"/>
      <c r="I87" s="200"/>
      <c r="J87" s="249"/>
      <c r="K87" s="250"/>
      <c r="L87" s="251"/>
      <c r="M87" s="172" t="str">
        <f t="shared" si="0"/>
        <v/>
      </c>
      <c r="N87" s="203"/>
      <c r="O87" s="197"/>
      <c r="P87" s="206"/>
      <c r="Q87" s="173" t="str">
        <f t="shared" si="1"/>
        <v/>
      </c>
      <c r="R87" s="69"/>
      <c r="S87" s="208"/>
      <c r="T87" s="209"/>
      <c r="V87" s="175">
        <f t="shared" si="2"/>
        <v>0</v>
      </c>
      <c r="W87" s="175" t="str">
        <f t="shared" si="3"/>
        <v/>
      </c>
    </row>
    <row r="88" spans="1:23" s="164" customFormat="1">
      <c r="A88" s="171">
        <f t="shared" si="4"/>
        <v>9</v>
      </c>
      <c r="B88" s="197"/>
      <c r="C88" s="198"/>
      <c r="D88" s="199"/>
      <c r="E88" s="246"/>
      <c r="F88" s="247"/>
      <c r="G88" s="248"/>
      <c r="H88" s="200"/>
      <c r="I88" s="200"/>
      <c r="J88" s="249"/>
      <c r="K88" s="250"/>
      <c r="L88" s="251"/>
      <c r="M88" s="172" t="str">
        <f t="shared" si="0"/>
        <v/>
      </c>
      <c r="N88" s="203"/>
      <c r="O88" s="197"/>
      <c r="P88" s="206"/>
      <c r="Q88" s="173" t="str">
        <f t="shared" si="1"/>
        <v/>
      </c>
      <c r="R88" s="69"/>
      <c r="S88" s="210"/>
      <c r="T88" s="209"/>
      <c r="V88" s="175">
        <f t="shared" si="2"/>
        <v>0</v>
      </c>
      <c r="W88" s="175" t="str">
        <f t="shared" si="3"/>
        <v/>
      </c>
    </row>
    <row r="89" spans="1:23" s="164" customFormat="1">
      <c r="A89" s="171">
        <f t="shared" si="4"/>
        <v>10</v>
      </c>
      <c r="B89" s="197"/>
      <c r="C89" s="198"/>
      <c r="D89" s="199"/>
      <c r="E89" s="246"/>
      <c r="F89" s="247"/>
      <c r="G89" s="248"/>
      <c r="H89" s="200"/>
      <c r="I89" s="200"/>
      <c r="J89" s="249"/>
      <c r="K89" s="250"/>
      <c r="L89" s="251"/>
      <c r="M89" s="172" t="str">
        <f t="shared" si="0"/>
        <v/>
      </c>
      <c r="N89" s="203"/>
      <c r="O89" s="197"/>
      <c r="P89" s="206"/>
      <c r="Q89" s="173" t="str">
        <f t="shared" si="1"/>
        <v/>
      </c>
      <c r="R89" s="69"/>
      <c r="S89" s="210"/>
      <c r="T89" s="209"/>
      <c r="V89" s="175">
        <f t="shared" si="2"/>
        <v>0</v>
      </c>
      <c r="W89" s="175" t="str">
        <f t="shared" si="3"/>
        <v/>
      </c>
    </row>
    <row r="90" spans="1:23" s="164" customFormat="1">
      <c r="A90" s="171">
        <f t="shared" si="4"/>
        <v>11</v>
      </c>
      <c r="B90" s="197"/>
      <c r="C90" s="198"/>
      <c r="D90" s="199"/>
      <c r="E90" s="246"/>
      <c r="F90" s="247"/>
      <c r="G90" s="248"/>
      <c r="H90" s="200"/>
      <c r="I90" s="200"/>
      <c r="J90" s="249"/>
      <c r="K90" s="250"/>
      <c r="L90" s="251"/>
      <c r="M90" s="172" t="str">
        <f t="shared" si="0"/>
        <v/>
      </c>
      <c r="N90" s="203"/>
      <c r="O90" s="197"/>
      <c r="P90" s="206"/>
      <c r="Q90" s="173" t="str">
        <f t="shared" si="1"/>
        <v/>
      </c>
      <c r="R90" s="69"/>
      <c r="S90" s="210"/>
      <c r="T90" s="209"/>
      <c r="V90" s="175">
        <f t="shared" si="2"/>
        <v>0</v>
      </c>
      <c r="W90" s="175" t="str">
        <f t="shared" si="3"/>
        <v/>
      </c>
    </row>
    <row r="91" spans="1:23" s="164" customFormat="1">
      <c r="A91" s="171">
        <f t="shared" si="4"/>
        <v>12</v>
      </c>
      <c r="B91" s="197"/>
      <c r="C91" s="198"/>
      <c r="D91" s="199"/>
      <c r="E91" s="246"/>
      <c r="F91" s="247"/>
      <c r="G91" s="248"/>
      <c r="H91" s="200"/>
      <c r="I91" s="200"/>
      <c r="J91" s="249"/>
      <c r="K91" s="250"/>
      <c r="L91" s="251"/>
      <c r="M91" s="172" t="str">
        <f t="shared" si="0"/>
        <v/>
      </c>
      <c r="N91" s="203"/>
      <c r="O91" s="197"/>
      <c r="P91" s="202"/>
      <c r="Q91" s="173" t="str">
        <f t="shared" si="1"/>
        <v/>
      </c>
      <c r="R91" s="69"/>
      <c r="S91" s="208"/>
      <c r="T91" s="209"/>
      <c r="V91" s="175">
        <f t="shared" si="2"/>
        <v>0</v>
      </c>
      <c r="W91" s="175" t="str">
        <f t="shared" si="3"/>
        <v/>
      </c>
    </row>
    <row r="92" spans="1:23" s="164" customFormat="1">
      <c r="A92" s="171">
        <f t="shared" si="4"/>
        <v>13</v>
      </c>
      <c r="B92" s="197"/>
      <c r="C92" s="198"/>
      <c r="D92" s="199"/>
      <c r="E92" s="246"/>
      <c r="F92" s="247"/>
      <c r="G92" s="248"/>
      <c r="H92" s="200"/>
      <c r="I92" s="200"/>
      <c r="J92" s="249"/>
      <c r="K92" s="250"/>
      <c r="L92" s="251"/>
      <c r="M92" s="172" t="str">
        <f t="shared" si="0"/>
        <v/>
      </c>
      <c r="N92" s="203"/>
      <c r="O92" s="197"/>
      <c r="P92" s="202"/>
      <c r="Q92" s="173" t="str">
        <f t="shared" si="1"/>
        <v/>
      </c>
      <c r="R92" s="69"/>
      <c r="S92" s="208"/>
      <c r="T92" s="209"/>
      <c r="V92" s="175">
        <f t="shared" si="2"/>
        <v>0</v>
      </c>
      <c r="W92" s="175" t="str">
        <f t="shared" si="3"/>
        <v/>
      </c>
    </row>
    <row r="93" spans="1:23" s="164" customFormat="1">
      <c r="A93" s="171">
        <f t="shared" si="4"/>
        <v>14</v>
      </c>
      <c r="B93" s="197"/>
      <c r="C93" s="198"/>
      <c r="D93" s="199"/>
      <c r="E93" s="246"/>
      <c r="F93" s="247"/>
      <c r="G93" s="248"/>
      <c r="H93" s="200"/>
      <c r="I93" s="200"/>
      <c r="J93" s="249"/>
      <c r="K93" s="250"/>
      <c r="L93" s="251"/>
      <c r="M93" s="172" t="str">
        <f t="shared" si="0"/>
        <v/>
      </c>
      <c r="N93" s="203"/>
      <c r="O93" s="197"/>
      <c r="P93" s="202"/>
      <c r="Q93" s="173" t="str">
        <f t="shared" si="1"/>
        <v/>
      </c>
      <c r="R93" s="69"/>
      <c r="S93" s="208"/>
      <c r="T93" s="209"/>
      <c r="V93" s="175">
        <f t="shared" si="2"/>
        <v>0</v>
      </c>
      <c r="W93" s="175" t="str">
        <f t="shared" si="3"/>
        <v/>
      </c>
    </row>
    <row r="94" spans="1:23" s="164" customFormat="1">
      <c r="A94" s="171">
        <f t="shared" si="4"/>
        <v>15</v>
      </c>
      <c r="B94" s="197"/>
      <c r="C94" s="198"/>
      <c r="D94" s="199"/>
      <c r="E94" s="246"/>
      <c r="F94" s="247"/>
      <c r="G94" s="248"/>
      <c r="H94" s="200"/>
      <c r="I94" s="200"/>
      <c r="J94" s="249"/>
      <c r="K94" s="250"/>
      <c r="L94" s="251"/>
      <c r="M94" s="172" t="str">
        <f t="shared" si="0"/>
        <v/>
      </c>
      <c r="N94" s="203"/>
      <c r="O94" s="197"/>
      <c r="P94" s="202"/>
      <c r="Q94" s="173" t="str">
        <f t="shared" si="1"/>
        <v/>
      </c>
      <c r="R94" s="69"/>
      <c r="S94" s="208"/>
      <c r="T94" s="209"/>
      <c r="V94" s="175">
        <f t="shared" si="2"/>
        <v>0</v>
      </c>
      <c r="W94" s="175" t="str">
        <f t="shared" si="3"/>
        <v/>
      </c>
    </row>
    <row r="95" spans="1:23" s="164" customFormat="1">
      <c r="A95" s="171">
        <f t="shared" si="4"/>
        <v>16</v>
      </c>
      <c r="B95" s="197"/>
      <c r="C95" s="198"/>
      <c r="D95" s="199"/>
      <c r="E95" s="246"/>
      <c r="F95" s="247"/>
      <c r="G95" s="248"/>
      <c r="H95" s="200"/>
      <c r="I95" s="200"/>
      <c r="J95" s="249"/>
      <c r="K95" s="250"/>
      <c r="L95" s="251"/>
      <c r="M95" s="172" t="str">
        <f t="shared" si="0"/>
        <v/>
      </c>
      <c r="N95" s="203"/>
      <c r="O95" s="197"/>
      <c r="P95" s="202"/>
      <c r="Q95" s="173" t="str">
        <f t="shared" si="1"/>
        <v/>
      </c>
      <c r="R95" s="69"/>
      <c r="S95" s="208"/>
      <c r="T95" s="209"/>
      <c r="V95" s="175">
        <f t="shared" si="2"/>
        <v>0</v>
      </c>
      <c r="W95" s="175" t="str">
        <f t="shared" si="3"/>
        <v/>
      </c>
    </row>
    <row r="96" spans="1:23" s="164" customFormat="1">
      <c r="A96" s="171">
        <f t="shared" si="4"/>
        <v>17</v>
      </c>
      <c r="B96" s="197"/>
      <c r="C96" s="198"/>
      <c r="D96" s="199"/>
      <c r="E96" s="246"/>
      <c r="F96" s="247"/>
      <c r="G96" s="248"/>
      <c r="H96" s="200"/>
      <c r="I96" s="200"/>
      <c r="J96" s="249"/>
      <c r="K96" s="250"/>
      <c r="L96" s="251"/>
      <c r="M96" s="172" t="str">
        <f t="shared" si="0"/>
        <v/>
      </c>
      <c r="N96" s="203"/>
      <c r="O96" s="197"/>
      <c r="P96" s="202"/>
      <c r="Q96" s="173" t="str">
        <f t="shared" si="1"/>
        <v/>
      </c>
      <c r="R96" s="69"/>
      <c r="S96" s="208"/>
      <c r="T96" s="209"/>
      <c r="V96" s="175">
        <f t="shared" si="2"/>
        <v>0</v>
      </c>
      <c r="W96" s="175" t="str">
        <f t="shared" si="3"/>
        <v/>
      </c>
    </row>
    <row r="97" spans="1:23" s="164" customFormat="1">
      <c r="A97" s="171">
        <f t="shared" si="4"/>
        <v>18</v>
      </c>
      <c r="B97" s="197"/>
      <c r="C97" s="198"/>
      <c r="D97" s="199"/>
      <c r="E97" s="246"/>
      <c r="F97" s="247"/>
      <c r="G97" s="248"/>
      <c r="H97" s="200"/>
      <c r="I97" s="200"/>
      <c r="J97" s="249"/>
      <c r="K97" s="250"/>
      <c r="L97" s="251"/>
      <c r="M97" s="172" t="str">
        <f t="shared" si="0"/>
        <v/>
      </c>
      <c r="N97" s="203"/>
      <c r="O97" s="197"/>
      <c r="P97" s="202"/>
      <c r="Q97" s="173" t="str">
        <f t="shared" si="1"/>
        <v/>
      </c>
      <c r="R97" s="69"/>
      <c r="S97" s="208"/>
      <c r="T97" s="209"/>
      <c r="V97" s="175">
        <f t="shared" si="2"/>
        <v>0</v>
      </c>
      <c r="W97" s="175" t="str">
        <f t="shared" si="3"/>
        <v/>
      </c>
    </row>
    <row r="98" spans="1:23" s="164" customFormat="1">
      <c r="A98" s="171">
        <f t="shared" si="4"/>
        <v>19</v>
      </c>
      <c r="B98" s="197"/>
      <c r="C98" s="198"/>
      <c r="D98" s="199"/>
      <c r="E98" s="246"/>
      <c r="F98" s="247"/>
      <c r="G98" s="248"/>
      <c r="H98" s="200"/>
      <c r="I98" s="200"/>
      <c r="J98" s="249"/>
      <c r="K98" s="250"/>
      <c r="L98" s="251"/>
      <c r="M98" s="172" t="str">
        <f t="shared" si="0"/>
        <v/>
      </c>
      <c r="N98" s="203"/>
      <c r="O98" s="197"/>
      <c r="P98" s="202"/>
      <c r="Q98" s="173" t="str">
        <f t="shared" si="1"/>
        <v/>
      </c>
      <c r="R98" s="69"/>
      <c r="S98" s="208"/>
      <c r="T98" s="209"/>
      <c r="V98" s="175">
        <f t="shared" si="2"/>
        <v>0</v>
      </c>
      <c r="W98" s="175" t="str">
        <f t="shared" si="3"/>
        <v/>
      </c>
    </row>
    <row r="99" spans="1:23" s="164" customFormat="1">
      <c r="A99" s="171">
        <f t="shared" si="4"/>
        <v>20</v>
      </c>
      <c r="B99" s="197"/>
      <c r="C99" s="198"/>
      <c r="D99" s="199"/>
      <c r="E99" s="246"/>
      <c r="F99" s="247"/>
      <c r="G99" s="248"/>
      <c r="H99" s="200"/>
      <c r="I99" s="200"/>
      <c r="J99" s="249"/>
      <c r="K99" s="250"/>
      <c r="L99" s="251"/>
      <c r="M99" s="172" t="str">
        <f t="shared" si="0"/>
        <v/>
      </c>
      <c r="N99" s="207"/>
      <c r="O99" s="197"/>
      <c r="P99" s="202"/>
      <c r="Q99" s="173" t="str">
        <f t="shared" si="1"/>
        <v/>
      </c>
      <c r="R99" s="69"/>
      <c r="S99" s="208"/>
      <c r="T99" s="209"/>
      <c r="V99" s="175">
        <f t="shared" si="2"/>
        <v>0</v>
      </c>
      <c r="W99" s="175" t="str">
        <f t="shared" si="3"/>
        <v/>
      </c>
    </row>
    <row r="100" spans="1:23" s="164" customFormat="1" ht="28.5" customHeight="1">
      <c r="B100" s="176"/>
      <c r="C100" s="176"/>
      <c r="D100" s="176"/>
      <c r="E100" s="177"/>
      <c r="F100" s="177"/>
      <c r="G100" s="177"/>
      <c r="H100" s="177"/>
      <c r="I100" s="177"/>
      <c r="J100" s="235" t="str">
        <f>IF(B3="English","Total region mas",IF(B3="中国語","総部位的
质量合计","総部位
質量合計"))</f>
        <v>総部位
質量合計</v>
      </c>
      <c r="K100" s="236"/>
      <c r="L100" s="237"/>
      <c r="M100" s="238">
        <f>SUM(M80:M99)</f>
        <v>0</v>
      </c>
      <c r="N100" s="240"/>
      <c r="O100" s="241"/>
      <c r="P100" s="178" t="str">
        <f>IF(B3="English","Total mass",IF(B3="中国語","总质量","物質質量
合計"))</f>
        <v>物質質量
合計</v>
      </c>
      <c r="Q100" s="238">
        <f>SUM(Q80:Q99)</f>
        <v>0</v>
      </c>
      <c r="R100" s="240"/>
      <c r="S100" s="242"/>
      <c r="T100" s="242"/>
    </row>
    <row r="101" spans="1:23" ht="17.25" customHeight="1">
      <c r="B101" s="179"/>
      <c r="D101" s="180"/>
      <c r="E101" s="180"/>
      <c r="F101" s="180"/>
      <c r="G101" s="180"/>
      <c r="H101" s="181"/>
      <c r="I101" s="182"/>
      <c r="J101" s="243" t="str">
        <f>E22</f>
        <v>g</v>
      </c>
      <c r="K101" s="244"/>
      <c r="L101" s="245"/>
      <c r="M101" s="239"/>
      <c r="N101" s="183"/>
      <c r="O101" s="180"/>
      <c r="P101" s="184" t="str">
        <f>E22</f>
        <v>g</v>
      </c>
      <c r="Q101" s="239"/>
      <c r="R101" s="122"/>
      <c r="S101" s="185"/>
    </row>
    <row r="102" spans="1:23" ht="17.25" customHeight="1">
      <c r="I102" s="183"/>
      <c r="J102" s="183"/>
      <c r="K102" s="183"/>
      <c r="L102" s="183"/>
      <c r="M102" s="183"/>
      <c r="N102" s="186"/>
      <c r="O102" s="183"/>
      <c r="P102" s="140"/>
      <c r="Q102" s="140"/>
      <c r="R102" s="137"/>
      <c r="S102" s="233" t="s">
        <v>63</v>
      </c>
      <c r="T102" s="234"/>
    </row>
    <row r="103" spans="1:23" ht="20.100000000000001" customHeight="1">
      <c r="I103" s="183"/>
      <c r="J103" s="183"/>
      <c r="K103" s="183"/>
      <c r="L103" s="183"/>
      <c r="M103" s="183"/>
      <c r="N103" s="186"/>
      <c r="O103" s="183"/>
      <c r="P103" s="140"/>
      <c r="Q103" s="140"/>
      <c r="R103" s="185"/>
      <c r="S103" s="187"/>
    </row>
    <row r="104" spans="1:23" ht="16.2" customHeight="1">
      <c r="A104" s="188"/>
      <c r="B104" s="189"/>
      <c r="C104" s="190"/>
      <c r="D104" s="190"/>
      <c r="E104" s="138"/>
      <c r="F104" s="138"/>
      <c r="G104" s="138"/>
      <c r="H104" s="138"/>
      <c r="O104" s="117"/>
    </row>
    <row r="105" spans="1:23" ht="16.2" customHeight="1">
      <c r="A105" s="191"/>
      <c r="B105" s="179"/>
      <c r="D105" s="190"/>
      <c r="E105" s="192"/>
      <c r="F105" s="192"/>
      <c r="G105" s="192"/>
      <c r="H105" s="192"/>
      <c r="O105" s="117"/>
    </row>
    <row r="106" spans="1:23" ht="16.2" customHeight="1">
      <c r="A106" s="193"/>
      <c r="D106" s="133"/>
      <c r="E106" s="133"/>
      <c r="F106" s="133"/>
      <c r="G106" s="133"/>
      <c r="H106" s="133"/>
      <c r="I106" s="189"/>
      <c r="J106" s="189"/>
      <c r="K106" s="189"/>
      <c r="L106" s="189"/>
      <c r="M106" s="189"/>
      <c r="O106" s="117"/>
    </row>
    <row r="107" spans="1:23" ht="16.2" customHeight="1">
      <c r="A107" s="188"/>
      <c r="O107" s="117"/>
      <c r="S107" s="186"/>
    </row>
    <row r="108" spans="1:23" ht="16.2" customHeight="1">
      <c r="A108" s="188"/>
      <c r="B108" s="194"/>
      <c r="S108" s="195"/>
      <c r="T108" s="195"/>
    </row>
    <row r="109" spans="1:23">
      <c r="A109" s="188"/>
      <c r="B109" s="194"/>
      <c r="S109" s="186"/>
    </row>
    <row r="110" spans="1:23">
      <c r="A110" s="188"/>
      <c r="B110" s="194"/>
    </row>
    <row r="111" spans="1:23">
      <c r="B111" s="194"/>
    </row>
  </sheetData>
  <sheetProtection sheet="1" objects="1" scenarios="1"/>
  <mergeCells count="97">
    <mergeCell ref="D13:H13"/>
    <mergeCell ref="I13:M13"/>
    <mergeCell ref="N13:Q13"/>
    <mergeCell ref="B3:J3"/>
    <mergeCell ref="B5:M5"/>
    <mergeCell ref="O6:Q6"/>
    <mergeCell ref="O7:Q7"/>
    <mergeCell ref="O8:Q8"/>
    <mergeCell ref="O9:Q9"/>
    <mergeCell ref="D12:H12"/>
    <mergeCell ref="I12:M12"/>
    <mergeCell ref="N12:Q12"/>
    <mergeCell ref="B8:H8"/>
    <mergeCell ref="B9:H9"/>
    <mergeCell ref="B12:C12"/>
    <mergeCell ref="B13:C13"/>
    <mergeCell ref="D14:H14"/>
    <mergeCell ref="I14:M14"/>
    <mergeCell ref="N14:Q14"/>
    <mergeCell ref="D15:H15"/>
    <mergeCell ref="I15:M15"/>
    <mergeCell ref="N15:Q15"/>
    <mergeCell ref="I18:M18"/>
    <mergeCell ref="N18:Q18"/>
    <mergeCell ref="B19:C19"/>
    <mergeCell ref="D19:H19"/>
    <mergeCell ref="I19:M19"/>
    <mergeCell ref="N19:Q19"/>
    <mergeCell ref="A78:A79"/>
    <mergeCell ref="B78:B79"/>
    <mergeCell ref="E78:G79"/>
    <mergeCell ref="H78:H79"/>
    <mergeCell ref="B18:C18"/>
    <mergeCell ref="D18:H18"/>
    <mergeCell ref="B20:C20"/>
    <mergeCell ref="D20:H20"/>
    <mergeCell ref="I20:M20"/>
    <mergeCell ref="N20:Q20"/>
    <mergeCell ref="B22:C22"/>
    <mergeCell ref="S78:S79"/>
    <mergeCell ref="T78:T79"/>
    <mergeCell ref="N78:N79"/>
    <mergeCell ref="O78:O79"/>
    <mergeCell ref="P78:P79"/>
    <mergeCell ref="R78:R79"/>
    <mergeCell ref="D78:D79"/>
    <mergeCell ref="E80:G80"/>
    <mergeCell ref="J80:L80"/>
    <mergeCell ref="E81:G81"/>
    <mergeCell ref="J81:L81"/>
    <mergeCell ref="I78:I79"/>
    <mergeCell ref="J78:L78"/>
    <mergeCell ref="E82:G82"/>
    <mergeCell ref="J82:L82"/>
    <mergeCell ref="E83:G83"/>
    <mergeCell ref="J83:L83"/>
    <mergeCell ref="E84:G84"/>
    <mergeCell ref="J84:L84"/>
    <mergeCell ref="E85:G85"/>
    <mergeCell ref="J85:L85"/>
    <mergeCell ref="E86:G86"/>
    <mergeCell ref="J86:L86"/>
    <mergeCell ref="E87:G87"/>
    <mergeCell ref="J87:L87"/>
    <mergeCell ref="E88:G88"/>
    <mergeCell ref="J88:L88"/>
    <mergeCell ref="E89:G89"/>
    <mergeCell ref="J89:L89"/>
    <mergeCell ref="E90:G90"/>
    <mergeCell ref="J90:L90"/>
    <mergeCell ref="E91:G91"/>
    <mergeCell ref="J91:L91"/>
    <mergeCell ref="E92:G92"/>
    <mergeCell ref="J92:L92"/>
    <mergeCell ref="E93:G93"/>
    <mergeCell ref="J93:L93"/>
    <mergeCell ref="J94:L94"/>
    <mergeCell ref="E95:G95"/>
    <mergeCell ref="J95:L95"/>
    <mergeCell ref="E96:G96"/>
    <mergeCell ref="J96:L96"/>
    <mergeCell ref="B14:C14"/>
    <mergeCell ref="B15:C15"/>
    <mergeCell ref="S102:T102"/>
    <mergeCell ref="J100:L100"/>
    <mergeCell ref="M100:M101"/>
    <mergeCell ref="N100:O100"/>
    <mergeCell ref="Q100:Q101"/>
    <mergeCell ref="R100:T100"/>
    <mergeCell ref="J101:L101"/>
    <mergeCell ref="E97:G97"/>
    <mergeCell ref="J97:L97"/>
    <mergeCell ref="E98:G98"/>
    <mergeCell ref="J98:L98"/>
    <mergeCell ref="E99:G99"/>
    <mergeCell ref="J99:L99"/>
    <mergeCell ref="E94:G94"/>
  </mergeCells>
  <phoneticPr fontId="2"/>
  <conditionalFormatting sqref="J68:L68 O68">
    <cfRule type="expression" dxfId="4" priority="1" stopIfTrue="1">
      <formula>$A$12&lt;&gt;""</formula>
    </cfRule>
  </conditionalFormatting>
  <dataValidations count="10">
    <dataValidation type="list" allowBlank="1" showInputMessage="1" showErrorMessage="1" sqref="M3:M4">
      <formula1>$W$3:$W$7</formula1>
    </dataValidation>
    <dataValidation imeMode="off" allowBlank="1" showInputMessage="1" showErrorMessage="1" sqref="D12:H12 O80:Q99 S80:S99 I80:K99 N18:Q20 N12:Q13 M80:M99 D22 D18:H20 A80:A99"/>
    <dataValidation type="list" allowBlank="1" showInputMessage="1" showErrorMessage="1" sqref="K3:L4 B3:J3">
      <formula1>$W$5:$W$7</formula1>
    </dataValidation>
    <dataValidation type="list" allowBlank="1" showInputMessage="1" showErrorMessage="1" promptTitle="=Weight/1pcs" prompt="(Weight of one prosuct)_x000a__x000a_*** mg/pcs_x000a_*** mg/m_x000a_*** mg/m2_x000a_*** g/pcs_x000a_*** g/m_x000a_*** g/m2" sqref="L79 J79">
      <formula1>"mg,g"</formula1>
    </dataValidation>
    <dataValidation type="list" allowBlank="1" showInputMessage="1" showErrorMessage="1" promptTitle="=Weight/1pcs" prompt="(Weight of one product)_x000a__x000a_*** mg/pcs_x000a_*** mg/m_x000a_*** mg/m2_x000a_*** g/pcs_x000a_*** g/m_x000a_*** g/m2" sqref="G22">
      <formula1>"pcs,m,m2,"</formula1>
    </dataValidation>
    <dataValidation type="list" allowBlank="1" showInputMessage="1" sqref="D80:D99">
      <formula1>$M$25:$X$25</formula1>
    </dataValidation>
    <dataValidation type="list" allowBlank="1" showInputMessage="1" sqref="E80:G99">
      <formula1>INDIRECT(D80)</formula1>
    </dataValidation>
    <dataValidation type="list" allowBlank="1" showInputMessage="1" sqref="R80:R99">
      <formula1>$B$25:$B$70</formula1>
    </dataValidation>
    <dataValidation type="list" allowBlank="1" showInputMessage="1" showErrorMessage="1" promptTitle="=Weight/1pcs" prompt="(Weight of one product)_x000a__x000a_*** mg/pcs_x000a_*** mg/m_x000a_*** mg/m2_x000a_*** g/pcs_x000a_*** g/m_x000a_*** g/m2" sqref="E22">
      <formula1>"mg,g"</formula1>
    </dataValidation>
    <dataValidation type="list" allowBlank="1" showInputMessage="1" sqref="T80:T99">
      <formula1>$D$25:$D$26</formula1>
    </dataValidation>
  </dataValidations>
  <pageMargins left="0.27559055118110237" right="0.19685039370078741" top="0.19685039370078741" bottom="0.19685039370078741" header="0.31496062992125984" footer="0.19685039370078741"/>
  <pageSetup paperSize="9" scale="76" orientation="landscape" r:id="rId1"/>
  <headerFooter alignWithMargins="0">
    <oddFooter>&amp;CMiinebeaMitsumi Inc.</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55"/>
  <sheetViews>
    <sheetView showGridLines="0" zoomScale="80" zoomScaleNormal="80" workbookViewId="0">
      <selection activeCell="B3" sqref="B3:J3"/>
    </sheetView>
  </sheetViews>
  <sheetFormatPr defaultColWidth="9" defaultRowHeight="15.6"/>
  <cols>
    <col min="1" max="1" width="3.109375" style="151" customWidth="1"/>
    <col min="2" max="2" width="15.6640625" style="151" customWidth="1"/>
    <col min="3" max="3" width="8.6640625" style="151" customWidth="1"/>
    <col min="4" max="4" width="14.6640625" style="151" customWidth="1"/>
    <col min="5" max="5" width="8.6640625" style="151" customWidth="1"/>
    <col min="6" max="6" width="0.88671875" style="151" customWidth="1"/>
    <col min="7" max="7" width="8.6640625" style="151" customWidth="1"/>
    <col min="8" max="9" width="12.6640625" style="151" customWidth="1"/>
    <col min="10" max="10" width="3.6640625" style="151" customWidth="1"/>
    <col min="11" max="11" width="0.88671875" style="151" customWidth="1"/>
    <col min="12" max="12" width="4.109375" style="151" customWidth="1"/>
    <col min="13" max="13" width="8.6640625" style="151" customWidth="1"/>
    <col min="14" max="14" width="22.44140625" style="151" customWidth="1"/>
    <col min="15" max="17" width="8.6640625" style="151" customWidth="1"/>
    <col min="18" max="18" width="11.88671875" style="151" customWidth="1"/>
    <col min="19" max="20" width="10.6640625" style="151" customWidth="1"/>
    <col min="21" max="21" width="8.6640625" style="151" customWidth="1"/>
    <col min="22" max="22" width="9" style="151" hidden="1" customWidth="1"/>
    <col min="23" max="23" width="9.6640625" style="151" hidden="1" customWidth="1"/>
    <col min="24" max="16384" width="9" style="151"/>
  </cols>
  <sheetData>
    <row r="1" spans="1:44" s="117" customFormat="1" ht="6.75" customHeight="1"/>
    <row r="2" spans="1:44" s="117" customFormat="1" ht="17.25" customHeight="1" thickBot="1">
      <c r="B2" s="117" t="s">
        <v>18</v>
      </c>
    </row>
    <row r="3" spans="1:44" s="117" customFormat="1" ht="16.2" thickBot="1">
      <c r="B3" s="300" t="s">
        <v>62</v>
      </c>
      <c r="C3" s="301"/>
      <c r="D3" s="301"/>
      <c r="E3" s="301"/>
      <c r="F3" s="301"/>
      <c r="G3" s="301"/>
      <c r="H3" s="301"/>
      <c r="I3" s="301"/>
      <c r="J3" s="302"/>
      <c r="K3" s="43"/>
      <c r="L3" s="43"/>
      <c r="M3" s="43"/>
      <c r="W3" s="117" t="s">
        <v>13</v>
      </c>
    </row>
    <row r="4" spans="1:44" s="117" customFormat="1" ht="7.5" customHeight="1">
      <c r="K4" s="43"/>
      <c r="L4" s="43"/>
      <c r="M4" s="43"/>
    </row>
    <row r="5" spans="1:44" s="117" customFormat="1" ht="27.75" customHeight="1">
      <c r="B5" s="303" t="str">
        <f>IF(B3="English","Survey Report of Chemical Substance in Products",IF(B3="中国語","产品含有化学物质调查表","製品含有化学物質調査表"))</f>
        <v>製品含有化学物質調査表</v>
      </c>
      <c r="C5" s="304"/>
      <c r="D5" s="304"/>
      <c r="E5" s="304"/>
      <c r="F5" s="304"/>
      <c r="G5" s="304"/>
      <c r="H5" s="304"/>
      <c r="I5" s="304"/>
      <c r="J5" s="304"/>
      <c r="K5" s="304"/>
      <c r="L5" s="304"/>
      <c r="M5" s="304"/>
      <c r="N5" s="118"/>
      <c r="O5" s="118"/>
      <c r="P5" s="118"/>
      <c r="Q5" s="119"/>
      <c r="R5" s="118"/>
      <c r="S5" s="120"/>
      <c r="T5" s="211" t="s">
        <v>59</v>
      </c>
      <c r="U5" s="118"/>
      <c r="V5" s="118"/>
      <c r="W5" s="117" t="s">
        <v>14</v>
      </c>
      <c r="X5" s="118"/>
      <c r="Y5" s="118"/>
      <c r="Z5" s="118"/>
      <c r="AA5" s="119"/>
      <c r="AF5" s="121" t="s">
        <v>0</v>
      </c>
      <c r="AG5" s="122"/>
    </row>
    <row r="6" spans="1:44" s="117" customFormat="1" ht="19.2" customHeight="1">
      <c r="B6" s="118"/>
      <c r="C6" s="118"/>
      <c r="D6" s="118"/>
      <c r="E6" s="118"/>
      <c r="F6" s="118"/>
      <c r="G6" s="118"/>
      <c r="H6" s="118"/>
      <c r="I6" s="118"/>
      <c r="J6" s="118"/>
      <c r="K6" s="118"/>
      <c r="L6" s="118"/>
      <c r="M6" s="118"/>
      <c r="N6" s="118"/>
      <c r="O6" s="305" t="str">
        <f>IF(B3="English","Document No.:",IF(B3="中国語","资料 No.:","資料No.:"))</f>
        <v>資料No.:</v>
      </c>
      <c r="P6" s="305"/>
      <c r="Q6" s="305"/>
      <c r="R6" s="213"/>
      <c r="S6" s="214"/>
      <c r="T6" s="213"/>
      <c r="U6" s="118"/>
      <c r="V6" s="118"/>
      <c r="W6" s="117" t="s">
        <v>15</v>
      </c>
      <c r="X6" s="123"/>
      <c r="Y6" s="123"/>
      <c r="Z6" s="123"/>
      <c r="AA6" s="21"/>
      <c r="AB6" s="21"/>
      <c r="AC6" s="21"/>
      <c r="AD6" s="21"/>
      <c r="AE6" s="21"/>
      <c r="AF6" s="21"/>
      <c r="AG6" s="124"/>
    </row>
    <row r="7" spans="1:44" s="117" customFormat="1" ht="19.2" customHeight="1">
      <c r="C7" s="125"/>
      <c r="D7" s="125"/>
      <c r="E7" s="125"/>
      <c r="F7" s="125"/>
      <c r="G7" s="125"/>
      <c r="H7" s="125"/>
      <c r="I7" s="125"/>
      <c r="J7" s="125"/>
      <c r="K7" s="125"/>
      <c r="L7" s="125"/>
      <c r="M7" s="125"/>
      <c r="N7" s="125"/>
      <c r="O7" s="306"/>
      <c r="P7" s="306"/>
      <c r="Q7" s="306"/>
      <c r="R7" s="215"/>
      <c r="S7" s="214"/>
      <c r="T7" s="215"/>
      <c r="U7" s="125"/>
      <c r="V7" s="125"/>
      <c r="W7" s="117" t="s">
        <v>16</v>
      </c>
      <c r="X7" s="126"/>
      <c r="Y7" s="127"/>
      <c r="Z7" s="127"/>
      <c r="AA7" s="21"/>
      <c r="AB7" s="21"/>
      <c r="AC7" s="21"/>
      <c r="AD7" s="21"/>
      <c r="AE7" s="21"/>
      <c r="AF7" s="21"/>
      <c r="AG7" s="124"/>
    </row>
    <row r="8" spans="1:44" s="117" customFormat="1" ht="19.2" customHeight="1">
      <c r="B8" s="311"/>
      <c r="C8" s="306"/>
      <c r="D8" s="306"/>
      <c r="E8" s="306"/>
      <c r="F8" s="312"/>
      <c r="G8" s="312"/>
      <c r="H8" s="312"/>
      <c r="I8" s="128"/>
      <c r="J8" s="128"/>
      <c r="K8" s="128"/>
      <c r="L8" s="128"/>
      <c r="M8" s="128"/>
      <c r="N8" s="128"/>
      <c r="O8" s="307" t="str">
        <f>IF(B3="English","Supplier's code No.:",IF(B3="中国語","供应商编码:","取引先コードNo.:"))</f>
        <v>取引先コードNo.:</v>
      </c>
      <c r="P8" s="307"/>
      <c r="Q8" s="307"/>
      <c r="R8" s="216"/>
      <c r="S8" s="217"/>
      <c r="T8" s="216"/>
      <c r="W8" s="130"/>
      <c r="X8" s="130"/>
      <c r="Y8" s="130"/>
      <c r="Z8" s="130"/>
      <c r="AA8" s="129"/>
      <c r="AB8" s="130"/>
      <c r="AC8" s="130"/>
      <c r="AD8" s="130"/>
      <c r="AE8" s="130"/>
      <c r="AF8" s="130"/>
      <c r="AG8" s="130"/>
    </row>
    <row r="9" spans="1:44" s="117" customFormat="1" ht="19.2" customHeight="1">
      <c r="B9" s="310"/>
      <c r="C9" s="313"/>
      <c r="D9" s="313"/>
      <c r="E9" s="313"/>
      <c r="F9" s="314"/>
      <c r="G9" s="314"/>
      <c r="H9" s="314"/>
      <c r="I9" s="124"/>
      <c r="J9" s="124"/>
      <c r="K9" s="124"/>
      <c r="L9" s="124"/>
      <c r="M9" s="124"/>
      <c r="N9" s="124"/>
      <c r="O9" s="308"/>
      <c r="P9" s="308"/>
      <c r="Q9" s="308"/>
      <c r="R9" s="218"/>
      <c r="S9" s="219"/>
      <c r="T9" s="216"/>
      <c r="V9" s="132"/>
      <c r="W9" s="131"/>
      <c r="X9" s="131"/>
      <c r="Y9" s="131"/>
      <c r="Z9" s="131"/>
      <c r="AA9" s="131"/>
      <c r="AB9" s="131"/>
      <c r="AC9" s="131"/>
      <c r="AD9" s="131"/>
      <c r="AE9" s="131"/>
      <c r="AF9" s="131"/>
      <c r="AG9" s="131"/>
      <c r="AN9" s="133"/>
      <c r="AO9" s="133"/>
      <c r="AP9" s="133"/>
      <c r="AQ9" s="133"/>
      <c r="AR9" s="133"/>
    </row>
    <row r="10" spans="1:44" s="117" customFormat="1" ht="10.199999999999999" customHeight="1">
      <c r="B10" s="134"/>
      <c r="C10" s="21"/>
      <c r="D10" s="21"/>
      <c r="E10" s="21"/>
      <c r="F10" s="21"/>
      <c r="G10" s="21"/>
      <c r="H10" s="21"/>
      <c r="I10" s="21"/>
      <c r="J10" s="21"/>
      <c r="K10" s="21"/>
      <c r="L10" s="21"/>
      <c r="M10" s="21"/>
      <c r="N10" s="135"/>
      <c r="O10" s="135"/>
      <c r="P10" s="21"/>
      <c r="Q10" s="136"/>
      <c r="R10" s="220"/>
      <c r="S10" s="221"/>
      <c r="T10" s="221"/>
      <c r="V10" s="137"/>
      <c r="W10" s="131"/>
      <c r="X10" s="131"/>
      <c r="Y10" s="131"/>
      <c r="Z10" s="131"/>
      <c r="AA10" s="131"/>
      <c r="AB10" s="131"/>
      <c r="AC10" s="131"/>
      <c r="AD10" s="131"/>
      <c r="AE10" s="131"/>
      <c r="AF10" s="131"/>
      <c r="AG10" s="131"/>
      <c r="AN10" s="133"/>
      <c r="AO10" s="133"/>
      <c r="AP10" s="133"/>
      <c r="AQ10" s="133"/>
      <c r="AR10" s="133"/>
    </row>
    <row r="11" spans="1:44" s="117" customFormat="1" ht="15" customHeight="1">
      <c r="B11" s="138" t="str">
        <f>IF(B3="English","[Manufacturer to fill out］",IF(B3="中国語","[提出源记入栏］","[提出元記入欄］"))</f>
        <v>[提出元記入欄］</v>
      </c>
      <c r="C11" s="121"/>
      <c r="E11" s="121"/>
      <c r="F11" s="121"/>
      <c r="G11" s="121"/>
      <c r="H11" s="121"/>
      <c r="I11" s="139"/>
      <c r="J11" s="139"/>
      <c r="K11" s="139"/>
      <c r="L11" s="139"/>
      <c r="M11" s="121"/>
      <c r="N11" s="140"/>
      <c r="O11" s="140"/>
      <c r="P11" s="43"/>
      <c r="R11" s="222"/>
      <c r="S11" s="222"/>
      <c r="T11" s="223"/>
      <c r="U11" s="29"/>
      <c r="AM11" s="133"/>
      <c r="AN11" s="133"/>
      <c r="AO11" s="133"/>
      <c r="AP11" s="133"/>
      <c r="AQ11" s="133"/>
    </row>
    <row r="12" spans="1:44" s="117" customFormat="1" ht="19.2" customHeight="1">
      <c r="A12" s="43"/>
      <c r="B12" s="231" t="str">
        <f>IF(B3="English","Date(yy.mm.dd)",IF(B3="中国語","发行日","発行日"))</f>
        <v>発行日</v>
      </c>
      <c r="C12" s="232"/>
      <c r="D12" s="309" t="s">
        <v>1</v>
      </c>
      <c r="E12" s="310"/>
      <c r="F12" s="310"/>
      <c r="G12" s="310"/>
      <c r="H12" s="310"/>
      <c r="I12" s="231" t="str">
        <f>IF(B3="English","E-mail",IF(B3="中国語","邮箱地址","メールアドレス"))</f>
        <v>メールアドレス</v>
      </c>
      <c r="J12" s="291"/>
      <c r="K12" s="291"/>
      <c r="L12" s="291"/>
      <c r="M12" s="292"/>
      <c r="N12" s="289" t="s">
        <v>2</v>
      </c>
      <c r="O12" s="299"/>
      <c r="P12" s="299"/>
      <c r="Q12" s="299"/>
      <c r="R12" s="224"/>
      <c r="S12" s="224"/>
      <c r="T12" s="222"/>
      <c r="U12" s="133"/>
      <c r="V12" s="133"/>
      <c r="W12" s="133"/>
      <c r="X12" s="133"/>
      <c r="Y12" s="133"/>
    </row>
    <row r="13" spans="1:44" s="117" customFormat="1" ht="19.2" customHeight="1">
      <c r="A13" s="43"/>
      <c r="B13" s="231" t="str">
        <f>IF(B3="English","Company name",IF(B3="中国語","公司名称","会社名"))</f>
        <v>会社名</v>
      </c>
      <c r="C13" s="232"/>
      <c r="D13" s="289" t="s">
        <v>1</v>
      </c>
      <c r="E13" s="290"/>
      <c r="F13" s="290"/>
      <c r="G13" s="290"/>
      <c r="H13" s="290"/>
      <c r="I13" s="231" t="str">
        <f>IF(B3="English","Phone number",IF(B3="中国語","电话号码","電話番号"))</f>
        <v>電話番号</v>
      </c>
      <c r="J13" s="291"/>
      <c r="K13" s="291"/>
      <c r="L13" s="291"/>
      <c r="M13" s="292"/>
      <c r="N13" s="289"/>
      <c r="O13" s="299"/>
      <c r="P13" s="299"/>
      <c r="Q13" s="299"/>
      <c r="R13" s="224"/>
      <c r="S13" s="224"/>
      <c r="T13" s="222"/>
      <c r="U13" s="133"/>
      <c r="V13" s="133"/>
      <c r="W13" s="133"/>
      <c r="X13" s="133"/>
      <c r="Y13" s="133"/>
    </row>
    <row r="14" spans="1:44" s="117" customFormat="1" ht="19.2" customHeight="1">
      <c r="A14" s="43"/>
      <c r="B14" s="231" t="str">
        <f>IF(B3="English","Division name",IF(B3="中国語","部门名称","部署名"))</f>
        <v>部署名</v>
      </c>
      <c r="C14" s="232"/>
      <c r="D14" s="289" t="s">
        <v>2</v>
      </c>
      <c r="E14" s="290"/>
      <c r="F14" s="290"/>
      <c r="G14" s="290"/>
      <c r="H14" s="290"/>
      <c r="I14" s="231" t="str">
        <f>IF(B3="English","Responsible person (in block)",IF(B3="中国語","责任者名","責任者名"))</f>
        <v>責任者名</v>
      </c>
      <c r="J14" s="291"/>
      <c r="K14" s="291"/>
      <c r="L14" s="291"/>
      <c r="M14" s="292"/>
      <c r="N14" s="289" t="s">
        <v>2</v>
      </c>
      <c r="O14" s="293"/>
      <c r="P14" s="293"/>
      <c r="Q14" s="293"/>
      <c r="R14" s="224"/>
      <c r="S14" s="224"/>
      <c r="T14" s="222"/>
      <c r="U14" s="133"/>
      <c r="V14" s="133"/>
      <c r="W14" s="133"/>
      <c r="X14" s="133"/>
      <c r="Y14" s="133"/>
    </row>
    <row r="15" spans="1:44" s="117" customFormat="1" ht="19.2" customHeight="1">
      <c r="B15" s="231" t="str">
        <f>IF(B3="English","Written by ",IF(B3="中国語","填写者名","記入者名"))</f>
        <v>記入者名</v>
      </c>
      <c r="C15" s="232"/>
      <c r="D15" s="289" t="s">
        <v>1</v>
      </c>
      <c r="E15" s="290"/>
      <c r="F15" s="290"/>
      <c r="G15" s="290"/>
      <c r="H15" s="290"/>
      <c r="I15" s="294" t="str">
        <f>IF(B3="English","Signature",IF(B3="中国語","盖章","印"))</f>
        <v>印</v>
      </c>
      <c r="J15" s="295"/>
      <c r="K15" s="295"/>
      <c r="L15" s="295"/>
      <c r="M15" s="296"/>
      <c r="N15" s="297" t="str">
        <f>IF(B3="English","",IF(B3="中国語","盖章","印"))</f>
        <v>印</v>
      </c>
      <c r="O15" s="298"/>
      <c r="P15" s="298"/>
      <c r="Q15" s="298"/>
      <c r="R15" s="225"/>
      <c r="S15" s="225"/>
      <c r="T15" s="222"/>
    </row>
    <row r="16" spans="1:44" s="117" customFormat="1" ht="10.199999999999999" customHeight="1">
      <c r="O16" s="121"/>
      <c r="P16" s="140"/>
      <c r="Q16" s="140"/>
      <c r="R16" s="222"/>
      <c r="S16" s="222"/>
      <c r="T16" s="222"/>
      <c r="AA16" s="31"/>
    </row>
    <row r="17" spans="1:24" s="117" customFormat="1" ht="14.7" customHeight="1">
      <c r="A17" s="142"/>
      <c r="B17" s="143" t="str">
        <f>IF(B3="English"," Part name or Part number",IF(B3="中国語","品名・品番号・图番号・条款编号","品名・品番・図番・アイテムコード"))</f>
        <v>品名・品番・図番・アイテムコード</v>
      </c>
      <c r="C17" s="142"/>
      <c r="I17" s="29"/>
      <c r="Q17" s="144"/>
      <c r="R17" s="222"/>
      <c r="S17" s="222"/>
      <c r="T17" s="222"/>
    </row>
    <row r="18" spans="1:24" s="117" customFormat="1" ht="19.2" customHeight="1">
      <c r="B18" s="280" t="str">
        <f>IF(B3="English","Our part name, Manufacturer :",IF(B3="中国語","本公司品名(厂家名):","弊社品名(メーカー名)："))</f>
        <v>弊社品名(メーカー名)：</v>
      </c>
      <c r="C18" s="281"/>
      <c r="D18" s="282"/>
      <c r="E18" s="282"/>
      <c r="F18" s="282"/>
      <c r="G18" s="282"/>
      <c r="H18" s="283"/>
      <c r="I18" s="287" t="str">
        <f>IF(B3="English","Our part, drawing number :",IF(B3="中国語","本公司品番号, 图番 :","弊社品番,図番等："))</f>
        <v>弊社品番,図番等：</v>
      </c>
      <c r="J18" s="280"/>
      <c r="K18" s="280"/>
      <c r="L18" s="280"/>
      <c r="M18" s="280"/>
      <c r="N18" s="261"/>
      <c r="O18" s="262"/>
      <c r="P18" s="262"/>
      <c r="Q18" s="262"/>
      <c r="R18" s="226"/>
      <c r="S18" s="226"/>
      <c r="T18" s="222"/>
    </row>
    <row r="19" spans="1:24" s="117" customFormat="1" ht="19.2" customHeight="1">
      <c r="B19" s="260" t="str">
        <f>IF(B3="English","MinebeaMitsumi part name:",IF(B3="中国語","美蓓亚三美G 品名:","ミネベアミツミG品名："))</f>
        <v>ミネベアミツミG品名：</v>
      </c>
      <c r="C19" s="284"/>
      <c r="D19" s="285"/>
      <c r="E19" s="285"/>
      <c r="F19" s="285"/>
      <c r="G19" s="285"/>
      <c r="H19" s="286"/>
      <c r="I19" s="288" t="str">
        <f>IF(B3="English","MinebeaMitsumi G part No.:",IF(B3="中国語","美蓓亚三美G 品番:","ミネベアミツミG品番："))</f>
        <v>ミネベアミツミG品番：</v>
      </c>
      <c r="J19" s="260"/>
      <c r="K19" s="260"/>
      <c r="L19" s="260"/>
      <c r="M19" s="260"/>
      <c r="N19" s="261"/>
      <c r="O19" s="262"/>
      <c r="P19" s="262"/>
      <c r="Q19" s="262"/>
      <c r="R19" s="227"/>
      <c r="S19" s="227"/>
      <c r="T19" s="222"/>
    </row>
    <row r="20" spans="1:24" s="117" customFormat="1" ht="19.2" customHeight="1">
      <c r="B20" s="260" t="str">
        <f>IF(B3="English","MinebeaMitsumi Drawing No.:",IF(B3="中国語","美蓓亚三美G 图番","ミネベアミツミG図番："))</f>
        <v>ミネベアミツミG図番：</v>
      </c>
      <c r="C20" s="284"/>
      <c r="D20" s="285"/>
      <c r="E20" s="285"/>
      <c r="F20" s="285"/>
      <c r="G20" s="285"/>
      <c r="H20" s="286"/>
      <c r="I20" s="259" t="str">
        <f>IF(B3="English","MinebeaMitsumi Item code",IF(B3="中国語","美蓓亚三美条款编号","ミネベアミツミGアイテムコード："))</f>
        <v>ミネベアミツミGアイテムコード：</v>
      </c>
      <c r="J20" s="260"/>
      <c r="K20" s="260"/>
      <c r="L20" s="260"/>
      <c r="M20" s="260"/>
      <c r="N20" s="261"/>
      <c r="O20" s="262"/>
      <c r="P20" s="262"/>
      <c r="Q20" s="262"/>
      <c r="R20" s="227"/>
      <c r="S20" s="227"/>
      <c r="T20" s="222"/>
    </row>
    <row r="21" spans="1:24" ht="19.2" customHeight="1">
      <c r="A21" s="145"/>
      <c r="B21" s="124"/>
      <c r="C21" s="146"/>
      <c r="D21" s="146"/>
      <c r="E21" s="146"/>
      <c r="F21" s="146"/>
      <c r="G21" s="146"/>
      <c r="H21" s="146"/>
      <c r="I21" s="147"/>
      <c r="J21" s="147"/>
      <c r="K21" s="147"/>
      <c r="L21" s="147"/>
      <c r="M21" s="148"/>
      <c r="N21" s="148"/>
      <c r="O21" s="149"/>
      <c r="P21" s="43"/>
      <c r="Q21" s="150"/>
      <c r="R21" s="228"/>
      <c r="S21" s="229"/>
      <c r="T21" s="230"/>
    </row>
    <row r="22" spans="1:24" ht="19.2" customHeight="1">
      <c r="A22" s="152"/>
      <c r="B22" s="263" t="str">
        <f>IF(B3="English","Product Mass",IF(B3="中国語","产品质量","製品質量"))</f>
        <v>製品質量</v>
      </c>
      <c r="C22" s="264"/>
      <c r="D22" s="196"/>
      <c r="E22" s="48" t="s">
        <v>19</v>
      </c>
      <c r="F22" s="153" t="s">
        <v>20</v>
      </c>
      <c r="G22" s="50" t="s">
        <v>4</v>
      </c>
      <c r="H22" s="154"/>
      <c r="I22" s="155"/>
      <c r="J22" s="155"/>
      <c r="K22" s="155"/>
      <c r="L22" s="155"/>
      <c r="R22" s="230"/>
      <c r="S22" s="230"/>
      <c r="T22" s="230"/>
    </row>
    <row r="23" spans="1:24" ht="10.199999999999999" customHeight="1">
      <c r="A23" s="152"/>
      <c r="B23" s="141"/>
      <c r="C23" s="141"/>
      <c r="D23" s="152"/>
      <c r="E23" s="152"/>
      <c r="F23" s="152"/>
      <c r="G23" s="152"/>
      <c r="H23" s="154"/>
      <c r="I23" s="155"/>
      <c r="J23" s="155"/>
      <c r="K23" s="155"/>
      <c r="L23" s="155"/>
      <c r="R23" s="230"/>
      <c r="S23" s="230"/>
      <c r="T23" s="230"/>
    </row>
    <row r="24" spans="1:24" s="156" customFormat="1" ht="12" hidden="1" customHeight="1">
      <c r="B24" s="157" t="s">
        <v>12</v>
      </c>
      <c r="D24" s="158" t="s">
        <v>61</v>
      </c>
      <c r="E24" s="158"/>
      <c r="R24" s="55"/>
      <c r="S24" s="55"/>
      <c r="T24" s="55"/>
    </row>
    <row r="25" spans="1:24" s="156" customFormat="1" ht="12" hidden="1" customHeight="1">
      <c r="B25" s="156" t="str">
        <f>IF(B3="English","Main Component",IF(B3="中国語","主成分","主成分"))</f>
        <v>主成分</v>
      </c>
      <c r="D25" s="156" t="str">
        <f>IF(B3="English","Intentional",IF(B3="中国語","有意","意図的"))</f>
        <v>意図的</v>
      </c>
      <c r="M25" s="159" t="str">
        <f>IF(B3="English","base_material",IF(B3="中国語","母材","母材"))</f>
        <v>母材</v>
      </c>
      <c r="N25" s="159" t="str">
        <f>IF(B3="English","clad",IF(B3="中国語","包覆","被覆"))</f>
        <v>被覆</v>
      </c>
      <c r="O25" s="159" t="str">
        <f>IF(B3="English","attached_agent",IF(B3="中国語","附着剤","付着剤"))</f>
        <v>付着剤</v>
      </c>
      <c r="P25" s="159" t="str">
        <f>IF(B3="English","inner_preparations",IF(B3="中国語","包含剂_适用于运转用配制品","内包剤_運転用調剤などに適用"))</f>
        <v>内包剤_運転用調剤などに適用</v>
      </c>
      <c r="Q25" s="159" t="str">
        <f>IF(B3="English","solder_joint",IF(B3="中国語","焊点","はんだ接合"))</f>
        <v>はんだ接合</v>
      </c>
      <c r="R25" s="103" t="str">
        <f>IF(B3="English","plating",IF(B3="中国語","表面处理_电镀","表面処理系_めっき"))</f>
        <v>表面処理系_めっき</v>
      </c>
      <c r="S25" s="103" t="str">
        <f>IF(B3="English","chemical_conversion_treatment",IF(B3="中国語","表面处理_化学合成处理","表面処理系_化成処理"))</f>
        <v>表面処理系_化成処理</v>
      </c>
      <c r="T25" s="103" t="str">
        <f>IF(B3="English","flame_spray_coating",IF(B3="中国語","表面处理_喷镀","表面処理系_溶射"))</f>
        <v>表面処理系_溶射</v>
      </c>
      <c r="U25" s="159" t="str">
        <f>IF(B3="English","PVD(Physical_Vapor_Deposition)",IF(B3="中国語","表面处理\PVD处理(物的蒸镀)","表面処理系_PVC処理"))</f>
        <v>表面処理系_PVC処理</v>
      </c>
      <c r="V25" s="159" t="str">
        <f>IF(B3="English","CVD(Chemical_Vapor_Deposition)",IF(B3="中国語","表面处理_CVD处理_化学的蒸镀","表面処理系_CVD処理"))</f>
        <v>表面処理系_CVD処理</v>
      </c>
      <c r="W25" s="159" t="str">
        <f>IF(B3="English","painting",IF(B3="中国語","表面处理_涂装","表面処理系_塗装"))</f>
        <v>表面処理系_塗装</v>
      </c>
      <c r="X25" s="159" t="str">
        <f>IF(B3="English","marking",IF(B3="中国語","表面处理_标印","表面処理系_マーキング"))</f>
        <v>表面処理系_マーキング</v>
      </c>
    </row>
    <row r="26" spans="1:24" s="156" customFormat="1" ht="12" hidden="1" customHeight="1">
      <c r="B26" s="156" t="str">
        <f>IF(B3="English","Metal, Alloy Component",IF(B3="中国語","金属、合金成分","金属、合金成分"))</f>
        <v>金属、合金成分</v>
      </c>
      <c r="D26" s="156" t="str">
        <f>IF(B3="English","Impurity",IF(B3="中国語","杂质","不純物"))</f>
        <v>不純物</v>
      </c>
      <c r="M26" s="159" t="str">
        <f>IF(B3="English","highly alloyed steel",IF(B3="中国語","高合金钢","高合金鋼"))</f>
        <v>高合金鋼</v>
      </c>
      <c r="N26" s="159" t="str">
        <f>IF(B3="English","Ceramics",IF(B3="中国語","陶瓷","セラミック"))</f>
        <v>セラミック</v>
      </c>
      <c r="O26" s="159" t="str">
        <f>IF(B3="English","filled Thermoplastics",IF(B3="中国語","含有填料带（填料）的热可塑树脂","フィラー(充填材)を含有する熱可塑性樹脂"))</f>
        <v>フィラー(充填材)を含有する熱可塑性樹脂</v>
      </c>
      <c r="P26" s="159" t="str">
        <f>IF(B3="English","Refrigerant",IF(B3="中国語","气体(制冷剂等)","冷媒"))</f>
        <v>冷媒</v>
      </c>
      <c r="Q26" s="159" t="str">
        <f>IF(B3="English","Sn-Pb solder",IF(B3="中国語","有铅焊锡","含鉛はんだ"))</f>
        <v>含鉛はんだ</v>
      </c>
      <c r="R26" s="103" t="str">
        <f>IF(B3="English","Zinc plating",IF(B3="中国語","镀锌","亜鉛めっき"))</f>
        <v>亜鉛めっき</v>
      </c>
      <c r="S26" s="103" t="str">
        <f>IF(B3="English","Hexavalent chromate film",IF(B3="中国語","铬酸盐膜,六价铬处理","クロメート被膜・６価クロム処理"))</f>
        <v>クロメート被膜・６価クロム処理</v>
      </c>
      <c r="T26" s="103" t="str">
        <f>IF(B3="English","Zinc spray coating",IF(B3="中国語","喷镀锌","亜鉛溶射"))</f>
        <v>亜鉛溶射</v>
      </c>
      <c r="U26" s="159" t="str">
        <f>IF(B3="English","CrN Coatings",IF(B3="中国語","CrN 涂层","CrN コーティング"))</f>
        <v>CrN コーティング</v>
      </c>
      <c r="V26" s="159" t="str">
        <f>IF(B3="English","CrN Coatings",IF(B3="中国語","CrN 涂层","CrN コーティング"))</f>
        <v>CrN コーティング</v>
      </c>
      <c r="W26" s="159" t="str">
        <f>IF(B3="English","Painted resin",IF(B3="中国語","涂膜树脂","塗膜樹脂"))</f>
        <v>塗膜樹脂</v>
      </c>
      <c r="X26" s="159" t="str">
        <f>IF(B3="English","Painted resin",IF(B3="中国語","涂膜树脂","塗膜樹脂"))</f>
        <v>塗膜樹脂</v>
      </c>
    </row>
    <row r="27" spans="1:24" s="156" customFormat="1" ht="12" hidden="1" customHeight="1">
      <c r="B27" s="156" t="str">
        <f>IF(B3="English","Resistance Component",IF(B3="中国語","抵抗成分","抵抗成分"))</f>
        <v>抵抗成分</v>
      </c>
      <c r="M27" s="159" t="str">
        <f>IF(B3="English","Highly alloyed cast iron",IF(B3="中国語","高合金铸铁","高合金鋳鉄"))</f>
        <v>高合金鋳鉄</v>
      </c>
      <c r="N27" s="159" t="str">
        <f>IF(B3="English","Glass",IF(B3="中国語","玻璃","ガラス"))</f>
        <v>ガラス</v>
      </c>
      <c r="O27" s="159" t="str">
        <f>IF(B3="English","PE (Polyethylene)",IF(B3="中国語","聚乙烯(PE)","PE(ポリエチレン)"))</f>
        <v>PE(ポリエチレン)</v>
      </c>
      <c r="P27" s="159" t="str">
        <f>IF(B3="English","Lubricants,Brake fluid, etc",IF(B3="中国語","液体(润滑剂、制动液等)","潤滑剤、ブレーキフルード、他"))</f>
        <v>潤滑剤、ブレーキフルード、他</v>
      </c>
      <c r="Q27" s="159" t="str">
        <f>IF(B3="English","Lead-free solder",IF(B3="中国語","无铅焊锡","非鉛はんだ"))</f>
        <v>非鉛はんだ</v>
      </c>
      <c r="R27" s="103" t="str">
        <f>IF(B3="English","Nickel plating",IF(B3="中国語","镀镍","ニッケルめっき"))</f>
        <v>ニッケルめっき</v>
      </c>
      <c r="S27" s="103" t="str">
        <f>IF(B3="English","Trivalent Chromium Passivation",IF(B3="中国語","三价铬酸盐处理","３価クロメート処理"))</f>
        <v>３価クロメート処理</v>
      </c>
      <c r="T27" s="103" t="str">
        <f>IF(B3="English","Aluminum spray coating",IF(B3="中国語","喷镀铝","アルミニウム溶射"))</f>
        <v>アルミニウム溶射</v>
      </c>
      <c r="U27" s="159" t="str">
        <f>IF(B3="English","DLC Coatings",IF(B3="中国語","DLC 涂层","DLC コーティング"))</f>
        <v>DLC コーティング</v>
      </c>
      <c r="V27" s="159" t="str">
        <f>IF(B3="English","DLC Coatings",IF(B3="中国語","DLC 涂层","DLC コーティング"))</f>
        <v>DLC コーティング</v>
      </c>
      <c r="W27" s="159" t="str">
        <f>IF(B3="English","Non electrolytically applied zinc flake coatings (Dacrotizing)",IF(B3="中国語","达克锈金属表面处理","ダクロ処理"))</f>
        <v>ダクロ処理</v>
      </c>
      <c r="X27" s="159" t="str">
        <f>IF(B3="English","Non electrolytically applied zinc flake coatings (Dacrotizing)",IF(B3="中国語","达克锈金属表面处理","ダクロ処理"))</f>
        <v>ダクロ処理</v>
      </c>
    </row>
    <row r="28" spans="1:24" s="156" customFormat="1" ht="12" hidden="1" customHeight="1">
      <c r="B28" s="156" t="str">
        <f>IF(B3="English","Dielectric Component",IF(B3="中国語","感应电体成分","誘電体成分"))</f>
        <v>誘電体成分</v>
      </c>
      <c r="M28" s="159" t="str">
        <f>IF(B3="English","Steels/cast steel/sintered steel",IF(B3="中国語","钢铁/铸钢/烧结合金","鉄鋼/鋳鋼/焼結合金"))</f>
        <v>鉄鋼/鋳鋼/焼結合金</v>
      </c>
      <c r="N28" s="159" t="str">
        <f>IF(B3="English","Other inorganic compounds",IF(B3="中国語","其它无机化合物","その他無機化合物"))</f>
        <v>その他無機化合物</v>
      </c>
      <c r="O28" s="159" t="str">
        <f>IF(B3="English","PP(Polypropylene)",IF(B3="中国語","聚丙烯 (PP)","PP(ポリプロピレン) "))</f>
        <v xml:space="preserve">PP(ポリプロピレン) </v>
      </c>
      <c r="P28" s="159" t="str">
        <f>IF(B3="English","Others (Powder,etc)",IF(B3="中国語","其他材料（粉末等）","その他材料（粉体ほか）"))</f>
        <v>その他材料（粉体ほか）</v>
      </c>
      <c r="Q28" s="159"/>
      <c r="R28" s="103" t="str">
        <f>IF(B3="English","Aluminum plating",IF(B3="中国語","镀铝","アルミニウムめっき"))</f>
        <v>アルミニウムめっき</v>
      </c>
      <c r="S28" s="103" t="str">
        <f>IF(B3="English","Chromium-free Passivation",IF(B3="中国語","无铬处理","クロムフリー処理"))</f>
        <v>クロムフリー処理</v>
      </c>
      <c r="T28" s="103" t="str">
        <f>IF(B3="English","Build-up thermal spraying",IF(B3="中国語","堆焊喷镀","肉盛溶射"))</f>
        <v>肉盛溶射</v>
      </c>
      <c r="U28" s="159" t="str">
        <f>IF(B3="English","TiN Coatings",IF(B3="中国語","TiN 涂层","TiN コーティング"))</f>
        <v>TiN コーティング</v>
      </c>
      <c r="V28" s="159" t="str">
        <f>IF(B3="English","TiN Coatings",IF(B3="中国語","TiN 涂层","TiN コーティング"))</f>
        <v>TiN コーティング</v>
      </c>
      <c r="W28" s="159" t="str">
        <f>IF(B3="English","Coating (ceramics)",IF(B3="中国語","涂层（陶瓷）","コーティング（セラミックス）"))</f>
        <v>コーティング（セラミックス）</v>
      </c>
      <c r="X28" s="159" t="str">
        <f>IF(B3="English","Coating (ceramics)",IF(B3="中国語","涂层（陶瓷）","コーティング（セラミックス）"))</f>
        <v>コーティング（セラミックス）</v>
      </c>
    </row>
    <row r="29" spans="1:24" s="156" customFormat="1" ht="12" hidden="1" customHeight="1">
      <c r="B29" s="156" t="str">
        <f>IF(B3="English","Glass Component",IF(B3="中国語","玻璃成分","ガラス成分"))</f>
        <v>ガラス成分</v>
      </c>
      <c r="M29" s="159" t="str">
        <f>IF(B3="English","unalloyed, low alloyed steel",IF(B3="中国語","非合金,低合金钢","非合金,低合金鋼"))</f>
        <v>非合金,低合金鋼</v>
      </c>
      <c r="N29" s="159" t="str">
        <f>IF(B3="English","filled Thermoplastics",IF(B3="中国語","含有填料带（填料）的热可塑树脂","フィラー(充填材)を含有する熱可塑性樹脂"))</f>
        <v>フィラー(充填材)を含有する熱可塑性樹脂</v>
      </c>
      <c r="O29" s="159" t="str">
        <f>IF(B3="English","PS (Polystyrene)",IF(B3="聚苯乙烯 (PS)","部位名","PS(ポリスチレン)"))</f>
        <v>PS(ポリスチレン)</v>
      </c>
      <c r="P29" s="159"/>
      <c r="Q29" s="159"/>
      <c r="R29" s="103" t="str">
        <f>IF(B3="English","Copper plating",IF(B3="中国語","镀铜","銅めっき"))</f>
        <v>銅めっき</v>
      </c>
      <c r="S29" s="103" t="str">
        <f>IF(B3="English","GEOMET Coating",IF(B3="中国語","GOMET(无铬)处理","ジオメット処理（ノンクロム）処理"))</f>
        <v>ジオメット処理（ノンクロム）処理</v>
      </c>
      <c r="T29" s="103" t="str">
        <f>IF(B3="English","Thermal spraying of self-fluxing alloy SFCo",IF(B3="中国語","钴自熔性合金喷镀","コバルト自溶合金溶射"))</f>
        <v>コバルト自溶合金溶射</v>
      </c>
      <c r="U29" s="159" t="str">
        <f>IF(B3="English","Gold vapor deposition film(Icd.Sputtering)",IF(B3="中国語","汽化镀金膜（包含喷溅）","金蒸着（スパッタを含む）"))</f>
        <v>金蒸着（スパッタを含む）</v>
      </c>
      <c r="V29" s="159" t="str">
        <f>IF(B3="English","Gold vapor deposition film(Icd.Sputtering)",IF(B3="中国語","汽化镀金膜（包含喷溅）","金蒸着（スパッタを含む）"))</f>
        <v>金蒸着（スパッタを含む）</v>
      </c>
      <c r="W29" s="159" t="str">
        <f>IF(B3="English","Coating (glass)",IF(B3="中国語","涂层（玻璃）","コーティング（ガラス）"))</f>
        <v>コーティング（ガラス）</v>
      </c>
      <c r="X29" s="159" t="str">
        <f>IF(B3="English","Coating (glass)",IF(B3="中国語","涂层（玻璃）","コーティング（ガラス）"))</f>
        <v>コーティング（ガラス）</v>
      </c>
    </row>
    <row r="30" spans="1:24" s="156" customFormat="1" ht="12" hidden="1" customHeight="1">
      <c r="B30" s="156" t="str">
        <f>IF(B3="English","Resin Component",IF(B3="中国語","树脂成分","樹脂成分"))</f>
        <v>樹脂成分</v>
      </c>
      <c r="M30" s="159" t="str">
        <f>IF(B3="English","Cast iron",IF(B3="中国語","铸铁","鋳鉄"))</f>
        <v>鋳鉄</v>
      </c>
      <c r="N30" s="159" t="str">
        <f>IF(B3="English","PE (Polyethylene)",IF(B3="中国語","聚乙烯(PE)","PE(ポリエチレン)"))</f>
        <v>PE(ポリエチレン)</v>
      </c>
      <c r="O30" s="159" t="str">
        <f>IF(B3="English","PVC (Poly vinyl chloride)",IF(B3="中国語","聚氯乙烯 (PVC)","PVC(ポリ塩化ビニル)"))</f>
        <v>PVC(ポリ塩化ビニル)</v>
      </c>
      <c r="P30" s="159"/>
      <c r="Q30" s="159"/>
      <c r="R30" s="103" t="str">
        <f>IF(B3="English","Tin plating",IF(B3="中国語","镀锡","スズめっき"))</f>
        <v>スズめっき</v>
      </c>
      <c r="S30" s="103" t="str">
        <f>IF(B3="English","BONDE Coating (Oxalic)",IF(B3="中国語","磷酸盐处理","シュウ酸ボンデ処理"))</f>
        <v>シュウ酸ボンデ処理</v>
      </c>
      <c r="T30" s="103" t="str">
        <f>IF(B3="English","Thermal spraying of self-fluxing alloy SFWC",IF(B3="中国語","碳化钨自熔性合金喷镀","タングステンカーバイト自溶合金溶射"))</f>
        <v>タングステンカーバイト自溶合金溶射</v>
      </c>
      <c r="U30" s="159" t="str">
        <f>IF(B3="English","Vapor deposition film(Icd.Sputtering) of other noble or rare metals",IF(B3="中国語","金以外的贵金属、稀金属蒸镀膜（包含喷溅）","金以外の貴金属・希少金属蒸着（スパッタを含む）"))</f>
        <v>金以外の貴金属・希少金属蒸着（スパッタを含む）</v>
      </c>
      <c r="V30" s="159" t="str">
        <f>IF(B3="English","Vapor deposition film(Icd.Sputtering) of other noble or rare metals",IF(B3="中国語","金以外的贵金属、稀金属蒸镀膜（包含喷溅）","金以外の貴金属・希少金属蒸着（スパッタを含む）"))</f>
        <v>金以外の貴金属・希少金属蒸着（スパッタを含む）</v>
      </c>
      <c r="W30" s="159" t="str">
        <f>IF(B3="English","Coating (Other compounds)",IF(B3="中国語","涂层（其他复合材料）","コーティング（他の複合材）"))</f>
        <v>コーティング（他の複合材）</v>
      </c>
      <c r="X30" s="159" t="str">
        <f>IF(B3="English","Coating (Other compounds)",IF(B3="中国語","涂层（其他复合材料）","コーティング（他の複合材）"))</f>
        <v>コーティング（他の複合材）</v>
      </c>
    </row>
    <row r="31" spans="1:24" s="156" customFormat="1" ht="12" hidden="1" customHeight="1">
      <c r="B31" s="156" t="str">
        <f>IF(B3="English","Ceramics Component",IF(B3="中国語","陶瓷成分","セラミックス"))</f>
        <v>セラミックス</v>
      </c>
      <c r="M31" s="159" t="str">
        <f>IF(B3="English","Cast iron with lamellar graphite / tempered cast iron",IF(B3="中国語","片状石墨铸铁/可锻铸铁","片状黒鉛鋳鉄/可鍛鋳鉄"))</f>
        <v>片状黒鉛鋳鉄/可鍛鋳鉄</v>
      </c>
      <c r="N31" s="159" t="str">
        <f>IF(B3="English","PP(Polypropylene)",IF(B3="中国語","聚丙烯 (PP)","PP(ポリプロピレン) "))</f>
        <v xml:space="preserve">PP(ポリプロピレン) </v>
      </c>
      <c r="O31" s="159" t="str">
        <f>IF(B3="English","PC (Polycarbonate)",IF(B3="中国語","聚碳酸酯 (PC)","PC(ポリカーボネート)"))</f>
        <v>PC(ポリカーボネート)</v>
      </c>
      <c r="P31" s="159"/>
      <c r="Q31" s="159"/>
      <c r="R31" s="103" t="str">
        <f>IF(B3="English","Chromium plating",IF(B3="中国語","镀铬","クロムめっき"))</f>
        <v>クロムめっき</v>
      </c>
      <c r="S31" s="103" t="str">
        <f>IF(B3="English","ZAY Coating",IF(B3="中国語","ZAY 涂层处理","ZAY コート処理"))</f>
        <v>ZAY コート処理</v>
      </c>
      <c r="T31" s="103" t="str">
        <f>IF(B3="English","Ceramic sprayed Coatings P-AO",IF(B3="中国語","氧化铝喷镀","酸化アルミニウム溶射"))</f>
        <v>酸化アルミニウム溶射</v>
      </c>
      <c r="U31" s="159" t="str">
        <f>IF(B3="English","Other film coating of inorganic compounds",IF(B3="中国語","其他无机化合物的涂层","その他無機化合物のコーティング"))</f>
        <v>その他無機化合物のコーティング</v>
      </c>
      <c r="V31" s="159" t="str">
        <f>IF(B3="English","Other film coating of inorganic compounds",IF(B3="中国語","其他无机化合物的涂层","その他無機化合物のコーティング"))</f>
        <v>その他無機化合物のコーティング</v>
      </c>
      <c r="W31" s="159"/>
      <c r="X31" s="159"/>
    </row>
    <row r="32" spans="1:24" s="156" customFormat="1" ht="12" hidden="1" customHeight="1">
      <c r="B32" s="156" t="str">
        <f>IF(B3="English","Wiring Component",IF(B3="中国語","配线成分","配線成分"))</f>
        <v>配線成分</v>
      </c>
      <c r="M32" s="159" t="str">
        <f>IF(B3="English","Cast iron with nodular graphite / vermicular cast iron",IF(B3="中国語","球状石墨铸铁/蠕墨铸铁","球状黒鉛鋳鉄 /バーミキュラー鋳鉄"))</f>
        <v>球状黒鉛鋳鉄 /バーミキュラー鋳鉄</v>
      </c>
      <c r="N32" s="159" t="str">
        <f>IF(B3="English","PS (Polystyrene)",IF(B3="聚苯乙烯 (PS)","部位名","PS(ポリスチレン)"))</f>
        <v>PS(ポリスチレン)</v>
      </c>
      <c r="O32" s="159" t="str">
        <f>IF(B3="English","POM (Polyacetal)",IF(B3="中国語","聚缩醛 (POM)","POM(ポリアセタール)"))</f>
        <v>POM(ポリアセタール)</v>
      </c>
      <c r="P32" s="159"/>
      <c r="Q32" s="159"/>
      <c r="R32" s="103" t="str">
        <f>IF(B3="English","Cobalt plating",IF(B3="中国語","镀钴","コバルトめっき"))</f>
        <v>コバルトめっき</v>
      </c>
      <c r="S32" s="103" t="str">
        <f>IF(B3="English","Anodic Oxidation Coatings",IF(B3="中国語","氧化铝膜处理","アルマイト処理"))</f>
        <v>アルマイト処理</v>
      </c>
      <c r="T32" s="103" t="str">
        <f>IF(B3="English","Ceramic sprayed Coatings P-CrO",IF(B3="中国語","氧化铬喷镀","酸化クロム溶射"))</f>
        <v>酸化クロム溶射</v>
      </c>
      <c r="U32" s="159"/>
      <c r="V32" s="159"/>
      <c r="W32" s="159"/>
      <c r="X32" s="159"/>
    </row>
    <row r="33" spans="2:24" s="156" customFormat="1" ht="12" hidden="1" customHeight="1">
      <c r="B33" s="156" t="str">
        <f>IF(B3="English","Electrolytic Plating",IF(B3="中国語","电解电镀","電解メッキ"))</f>
        <v>電解メッキ</v>
      </c>
      <c r="M33" s="159" t="str">
        <f>IF(B3="English","Cast aluminium alloys",IF(B3="中国語","铸造铝合金","鋳造アルミニウム合金"))</f>
        <v>鋳造アルミニウム合金</v>
      </c>
      <c r="N33" s="159" t="str">
        <f>IF(B3="English","PVC (Poly vinyl chloride)",IF(B3="中国語","聚氯乙烯 (PVC)","PVC(ポリ塩化ビニル)"))</f>
        <v>PVC(ポリ塩化ビニル)</v>
      </c>
      <c r="O33" s="159" t="str">
        <f>IF(B3="English","A(B)S Poly(acrylonitrile (-butadiene)-styrene)",IF(B3="中国語","丙烯腈丁二烯苯乙烯树脂 (ABS)","ABS"))</f>
        <v>ABS</v>
      </c>
      <c r="P33" s="159"/>
      <c r="Q33" s="159"/>
      <c r="R33" s="103" t="str">
        <f>IF(B3="English","Gold plating",IF(B3="中国語","镀金","金めっき"))</f>
        <v>金めっき</v>
      </c>
      <c r="S33" s="103" t="str">
        <f>IF(B3="English","Combined coatings of anodic oxide and organic coatings",IF(B3="中国語","氧化铝膜涂层处理","アルマイト塗装処理"))</f>
        <v>アルマイト塗装処理</v>
      </c>
      <c r="T33" s="103" t="str">
        <f>IF(B3="English","Ceramic sprayed Coatings P-AO-MgO",IF(B3="中国語","尖晶石喷镀","スピネル溶射"))</f>
        <v>スピネル溶射</v>
      </c>
      <c r="U33" s="159"/>
      <c r="V33" s="159"/>
      <c r="W33" s="159"/>
      <c r="X33" s="159"/>
    </row>
    <row r="34" spans="2:24" s="156" customFormat="1" ht="12" hidden="1" customHeight="1">
      <c r="B34" s="156" t="str">
        <f>IF(B3="English","Non-Electrolytic plating ",IF(B3="中国語","无电解电镀","無電解メッキ"))</f>
        <v>無電解メッキ</v>
      </c>
      <c r="M34" s="159" t="str">
        <f>IF(B3="English","Wrought aluminium alloys",IF(B3="中国語","锻造铝合金","鍛造アルミニウム合金"))</f>
        <v>鍛造アルミニウム合金</v>
      </c>
      <c r="N34" s="159" t="str">
        <f>IF(B3="English","PC (Polycarbonate)",IF(B3="中国語","聚碳酸酯 (PC)","PC(ポリカーボネート)"))</f>
        <v>PC(ポリカーボネート)</v>
      </c>
      <c r="O34" s="159" t="str">
        <f>IF(B3="English","PA (Polyamide)",IF(B3="中国語","聚酰胺 (PA)","PA(ポリアミド)"))</f>
        <v>PA(ポリアミド)</v>
      </c>
      <c r="P34" s="159"/>
      <c r="Q34" s="159"/>
      <c r="R34" s="103" t="str">
        <f>IF(B3="English","Platinum plating",IF(B3="中国語","镀铂","白金めっき"))</f>
        <v>白金めっき</v>
      </c>
      <c r="S34" s="103" t="str">
        <f>IF(B3="English","Corrosion protection of magnesium alloys",IF(B3="中国語","防腐蚀处理","マグネシウム防食処理"))</f>
        <v>マグネシウム防食処理</v>
      </c>
      <c r="T34" s="103" t="str">
        <f>IF(B3="English","Ceramic sprayed Coatings P-ZrO",IF(B3="中国語","氧化锆喷镀","酸化ジルコニウム溶射"))</f>
        <v>酸化ジルコニウム溶射</v>
      </c>
      <c r="U34" s="159"/>
      <c r="V34" s="159"/>
      <c r="W34" s="159"/>
      <c r="X34" s="159"/>
    </row>
    <row r="35" spans="2:24" s="156" customFormat="1" ht="12" hidden="1" customHeight="1">
      <c r="B35" s="156" t="str">
        <f>IF(B3="English","Dyes, Pigment",IF(B3="中国語","颜料、着色料","顔料、着色料"))</f>
        <v>顔料、着色料</v>
      </c>
      <c r="M35" s="159" t="str">
        <f>IF(B3="English","Cast magnesium alloys",IF(B3="中国語","铸造镁合金","鋳造マグネシウム合金"))</f>
        <v>鋳造マグネシウム合金</v>
      </c>
      <c r="N35" s="159" t="str">
        <f>IF(B3="English","POM (Polyacetal)",IF(B3="中国語","聚缩醛 (POM)","POM(ポリアセタール)"))</f>
        <v>POM(ポリアセタール)</v>
      </c>
      <c r="O35" s="159" t="str">
        <f>IF(B3="English","PET (Poly ethylene terephthalate )",IF(B3="中国語","聚对苯二甲酸乙二醇酯 (PET)","PET(ポリエチレンテレフタレート)"))</f>
        <v>PET(ポリエチレンテレフタレート)</v>
      </c>
      <c r="P35" s="159"/>
      <c r="Q35" s="159"/>
      <c r="R35" s="103" t="str">
        <f>IF(B3="English","Paradium plating",IF(B3="中国語","镀钯","パラジウムめっき"))</f>
        <v>パラジウムめっき</v>
      </c>
      <c r="S35" s="103" t="str">
        <f>IF(B3="English","Corrosion protection of aluminium alloys",IF(B3="中国語","铝防腐蚀处理","アルミニウム防食処理"))</f>
        <v>アルミニウム防食処理</v>
      </c>
      <c r="T35" s="103" t="str">
        <f>IF(B3="English","Cermet thermal spraying C-WC-Co",IF(B3="中国語","碳化钨-钴喷镀","炭化タングステン・コバルト溶射"))</f>
        <v>炭化タングステン・コバルト溶射</v>
      </c>
      <c r="U35" s="159"/>
      <c r="V35" s="159"/>
      <c r="W35" s="159"/>
      <c r="X35" s="159"/>
    </row>
    <row r="36" spans="2:24" s="156" customFormat="1" ht="12" hidden="1" customHeight="1">
      <c r="B36" s="156" t="str">
        <f>IF(B3="English","Catalyst",IF(B3="中国語","催化","触媒"))</f>
        <v>触媒</v>
      </c>
      <c r="M36" s="159" t="str">
        <f>IF(B3="English","Wrought magnesium alloys",IF(B3="中国語","锻造镁合金","鍛造マグネシウム合金"))</f>
        <v>鍛造マグネシウム合金</v>
      </c>
      <c r="N36" s="159" t="str">
        <f>IF(B3="English","A(B)S Poly(acrylonitrile (-butadiene)-styrene)",IF(B3="中国語","丙烯腈丁二烯苯乙烯树脂 (ABS)","ABS"))</f>
        <v>ABS</v>
      </c>
      <c r="O36" s="159" t="str">
        <f>IF(B3="English","PPE ((Modified) polyphenylene ether)",IF(B3="中国語","聚苯醚 (PPE)","PPE"))</f>
        <v>PPE</v>
      </c>
      <c r="P36" s="159"/>
      <c r="Q36" s="159"/>
      <c r="R36" s="103" t="str">
        <f>IF(B3="English","Rhodium plating",IF(B3="中国語","镀铑","ロジウムめっき"))</f>
        <v>ロジウムめっき</v>
      </c>
      <c r="S36" s="103" t="str">
        <f>IF(B3="English","Black Oxide Coatings",IF(B3="中国語","发黑（四氧化三铁）处理","黒染め（四三酸化鉄）処理"))</f>
        <v>黒染め（四三酸化鉄）処理</v>
      </c>
      <c r="T36" s="103" t="str">
        <f>IF(B3="English","Cermet thermal spraying C-CrC-Ni-Cr",IF(B3="中国語","碳化铬-镍喷镀","炭化クロム・ニッケル溶射"))</f>
        <v>炭化クロム・ニッケル溶射</v>
      </c>
      <c r="U36" s="159"/>
      <c r="V36" s="159"/>
      <c r="W36" s="159"/>
      <c r="X36" s="159"/>
    </row>
    <row r="37" spans="2:24" s="156" customFormat="1" ht="12" hidden="1" customHeight="1">
      <c r="B37" s="156" t="str">
        <f>IF(B3="English","Solvent",IF(B3="中国語","溶剂","溶媒"))</f>
        <v>溶媒</v>
      </c>
      <c r="M37" s="159" t="str">
        <f>IF(B3="English","Copper (e.g. copper amounts in cable harnesses)",IF(B3="中国語","纯铜 (例：线缆的铜)","銅(例,ケーブルハーネスの銅)"))</f>
        <v>銅(例,ケーブルハーネスの銅)</v>
      </c>
      <c r="N37" s="159" t="str">
        <f>IF(B3="English","PA (Polyamide)",IF(B3="中国語","聚酰胺 (PA)","PA(ポリアミド)"))</f>
        <v>PA(ポリアミド)</v>
      </c>
      <c r="O37" s="159" t="str">
        <f>IF(B3="English","Thermoplastic elastomer",IF(B3="中国語","热塑性弹性体","熱可塑性エラストマ"))</f>
        <v>熱可塑性エラストマ</v>
      </c>
      <c r="P37" s="159"/>
      <c r="Q37" s="159"/>
      <c r="R37" s="103" t="str">
        <f>IF(B3="English","Silver plating",IF(B3="中国語","镀银","銀めっき"))</f>
        <v>銀めっき</v>
      </c>
      <c r="S37" s="103" t="str">
        <f>IF(B3="English","Phosphate Coatings",IF(B3="中国語","磷酸处理","リン酸処理"))</f>
        <v>リン酸処理</v>
      </c>
      <c r="T37" s="103"/>
      <c r="U37" s="159"/>
      <c r="V37" s="159"/>
      <c r="W37" s="159"/>
      <c r="X37" s="159"/>
    </row>
    <row r="38" spans="2:24" s="156" customFormat="1" ht="12" hidden="1" customHeight="1">
      <c r="B38" s="156" t="str">
        <f>IF(B3="English","Impurity",IF(B3="中国語","不纯物","不純物"))</f>
        <v>不純物</v>
      </c>
      <c r="M38" s="159" t="str">
        <f>IF(B3="English","Copper alloys",IF(B3="中国語","铜合金","銅合金"))</f>
        <v>銅合金</v>
      </c>
      <c r="N38" s="159" t="str">
        <f>IF(B3="English","PET (Poly ethylene terephthalate )",IF(B3="中国語","聚对苯二甲酸乙二醇酯 (PET)","PET(ポリエチレンテレフタレート)"))</f>
        <v>PET(ポリエチレンテレフタレート)</v>
      </c>
      <c r="O38" s="159" t="str">
        <f>IF(B3="English","Other thermoplastics",IF(B3="中国語","其他热塑性树脂","その他の熱可塑性樹脂"))</f>
        <v>その他の熱可塑性樹脂</v>
      </c>
      <c r="P38" s="159"/>
      <c r="Q38" s="159"/>
      <c r="R38" s="103" t="str">
        <f>IF(B3="English","Cadmium plating",IF(B3="中国語","镀镉","カドミウムめっき"))</f>
        <v>カドミウムめっき</v>
      </c>
      <c r="S38" s="103"/>
      <c r="T38" s="103"/>
      <c r="U38" s="159"/>
      <c r="V38" s="159"/>
      <c r="W38" s="159"/>
      <c r="X38" s="159"/>
    </row>
    <row r="39" spans="2:24" s="156" customFormat="1" ht="12" hidden="1" customHeight="1">
      <c r="B39" s="156" t="str">
        <f>IF(B3="English","Accelerator",IF(B3="中国語","催化剂","促進剤"))</f>
        <v>促進剤</v>
      </c>
      <c r="M39" s="159" t="str">
        <f>IF(B3="English","Zinc and Zinc alloys",IF(B3="中国語","锌合金","亜鉛合金"))</f>
        <v>亜鉛合金</v>
      </c>
      <c r="N39" s="159" t="str">
        <f>IF(B3="English","PPE ((Modified) polyphenylene ether)",IF(B3="中国語","聚苯醚 (PPE)","PPE"))</f>
        <v>PPE</v>
      </c>
      <c r="O39" s="159" t="str">
        <f>IF(B3="English","PUR (Polyurethane)",IF(B3="中国語","聚氨酯 (PUR)","ポリウレタン"))</f>
        <v>ポリウレタン</v>
      </c>
      <c r="P39" s="159"/>
      <c r="Q39" s="159"/>
      <c r="R39" s="103"/>
      <c r="S39" s="103"/>
      <c r="T39" s="103"/>
      <c r="U39" s="159"/>
      <c r="V39" s="159"/>
      <c r="W39" s="159"/>
      <c r="X39" s="159"/>
    </row>
    <row r="40" spans="2:24" s="156" customFormat="1" ht="12" hidden="1" customHeight="1">
      <c r="B40" s="156" t="str">
        <f>IF(B3="English","Filler",IF(B3="中国語","填料","充填剤"))</f>
        <v>充填剤</v>
      </c>
      <c r="M40" s="159" t="str">
        <f>IF(B3="English","Nickel and Nickel alloys",IF(B3="中国語","镍合金","ニッケル合金"))</f>
        <v>ニッケル合金</v>
      </c>
      <c r="N40" s="159" t="str">
        <f>IF(B3="English","Thermoplastic elastomer",IF(B3="中国語","热塑性弹性体","熱可塑性エラストマ"))</f>
        <v>熱可塑性エラストマ</v>
      </c>
      <c r="O40" s="159" t="str">
        <f>IF(B3="English","UP (Unsaturated polyester)",IF(B3="中国語","不饱和聚酯 (UP)","不飽和ポリエステル"))</f>
        <v>不飽和ポリエステル</v>
      </c>
      <c r="P40" s="159"/>
      <c r="Q40" s="159"/>
      <c r="R40" s="103"/>
      <c r="S40" s="103"/>
      <c r="T40" s="103"/>
      <c r="U40" s="159"/>
      <c r="V40" s="159"/>
      <c r="W40" s="159"/>
      <c r="X40" s="159"/>
    </row>
    <row r="41" spans="2:24" s="156" customFormat="1" ht="12" hidden="1" customHeight="1">
      <c r="B41" s="156" t="str">
        <f>IF(B3="English","MoldbLubricant",IF(B3="中国語","脱模剂","離型剤 "))</f>
        <v xml:space="preserve">離型剤 </v>
      </c>
      <c r="M41" s="159" t="str">
        <f>IF(B3="English","Lead and Lead alloys",IF(B3="中国語","铅,铅合金","鉛,鉛合金"))</f>
        <v>鉛,鉛合金</v>
      </c>
      <c r="N41" s="159" t="str">
        <f>IF(B3="English","Other thermoplastics",IF(B3="中国語","其他热塑性树脂","その他の熱可塑性樹脂"))</f>
        <v>その他の熱可塑性樹脂</v>
      </c>
      <c r="O41" s="159" t="str">
        <f>IF(B3="English","EP (Epoxy resin)",IF(B3="中国語","环氧树脂 (EP)","エポキシ樹脂"))</f>
        <v>エポキシ樹脂</v>
      </c>
      <c r="P41" s="159"/>
      <c r="Q41" s="159"/>
      <c r="R41" s="103"/>
      <c r="S41" s="103"/>
      <c r="T41" s="103"/>
      <c r="U41" s="159"/>
      <c r="V41" s="159"/>
      <c r="W41" s="159"/>
      <c r="X41" s="159"/>
    </row>
    <row r="42" spans="2:24" s="156" customFormat="1" ht="12" hidden="1" customHeight="1">
      <c r="B42" s="156" t="str">
        <f>IF(B3="English","Plasticizer",IF(B3="中国語","可塑剂","可塑剤"))</f>
        <v>可塑剤</v>
      </c>
      <c r="M42" s="159" t="str">
        <f>IF(B3="English","Sn-Pb solder",IF(B3="中国語","有铅焊锡","含鉛はんだ"))</f>
        <v>含鉛はんだ</v>
      </c>
      <c r="N42" s="159" t="str">
        <f>IF(B3="English","PUR (Polyurethane)",IF(B3="中国語","聚氨酯 (PUR)","ポリウレタン"))</f>
        <v>ポリウレタン</v>
      </c>
      <c r="O42" s="159" t="str">
        <f>IF(B3="English","Others (Cured resin or duromers)",IF(B3="中国語","其他固性树脂","その他の硬化性樹脂"))</f>
        <v>その他の硬化性樹脂</v>
      </c>
      <c r="P42" s="159"/>
      <c r="Q42" s="159"/>
      <c r="R42" s="103"/>
      <c r="S42" s="103"/>
      <c r="T42" s="103"/>
      <c r="U42" s="159"/>
      <c r="V42" s="159"/>
      <c r="W42" s="159"/>
      <c r="X42" s="159"/>
    </row>
    <row r="43" spans="2:24" s="156" customFormat="1" ht="12" hidden="1" customHeight="1">
      <c r="B43" s="156" t="str">
        <f>IF(B3="English","Reinforcement",IF(B3="中国語","强化剂","強化剤"))</f>
        <v>強化剤</v>
      </c>
      <c r="M43" s="159" t="str">
        <f>IF(B3="English","Lead-free solder",IF(B3="中国語","无铅焊锡","非鉛はんだ"))</f>
        <v>非鉛はんだ</v>
      </c>
      <c r="N43" s="159" t="str">
        <f>IF(B3="English","UP (Unsaturated polyester)",IF(B3="中国語","不饱和聚酯 (UP)","不飽和ポリエステル"))</f>
        <v>不飽和ポリエステル</v>
      </c>
      <c r="O43" s="159" t="str">
        <f>IF(B3="English","Others (Rubber/non-thermoplastic Elastomer)",IF(B3="中国語","其他橡胶（非热塑性）、弹性体","（熱可塑でない）エラストマー／エラストマー複合"))</f>
        <v>（熱可塑でない）エラストマー／エラストマー複合</v>
      </c>
      <c r="P43" s="159"/>
      <c r="Q43" s="159"/>
      <c r="R43" s="103"/>
      <c r="S43" s="103"/>
      <c r="T43" s="103"/>
      <c r="U43" s="159"/>
      <c r="V43" s="159"/>
      <c r="W43" s="159"/>
      <c r="X43" s="159"/>
    </row>
    <row r="44" spans="2:24" s="156" customFormat="1" ht="12" hidden="1" customHeight="1">
      <c r="B44" s="156" t="str">
        <f>IF(B3="English","Retarder",IF(B3="中国語","抑制剂","抑制剤"))</f>
        <v>抑制剤</v>
      </c>
      <c r="M44" s="159" t="str">
        <f>IF(B3="English","Gold",IF(B3="中国語","特殊金属 (金)","特殊金属(金）"))</f>
        <v>特殊金属(金）</v>
      </c>
      <c r="N44" s="159" t="str">
        <f>IF(B3="English","EP (Epoxy resin)",IF(B3="中国語","环氧树脂 (EP)","エポキシ樹脂"))</f>
        <v>エポキシ樹脂</v>
      </c>
      <c r="O44" s="159" t="str">
        <f>IF(B3="English","Polymeric compounds",IF(B3="中国語","高分子复合材料","高分子複合材"))</f>
        <v>高分子複合材</v>
      </c>
      <c r="P44" s="159"/>
      <c r="Q44" s="159"/>
      <c r="R44" s="103"/>
      <c r="S44" s="103"/>
      <c r="T44" s="103"/>
      <c r="U44" s="159"/>
      <c r="V44" s="159"/>
      <c r="W44" s="159"/>
      <c r="X44" s="159"/>
    </row>
    <row r="45" spans="2:24" s="156" customFormat="1" ht="12" hidden="1" customHeight="1">
      <c r="B45" s="156" t="str">
        <f>IF(B3="English","Stabiliser",IF(B3="中国語","稳定剂","安定剤"))</f>
        <v>安定剤</v>
      </c>
      <c r="M45" s="159" t="str">
        <f>IF(B3="English","Platinum / rhodium",IF(B3="中国語","特殊金属 (铂、铑)","特殊金属（白金、ロジウム）"))</f>
        <v>特殊金属（白金、ロジウム）</v>
      </c>
      <c r="N45" s="159" t="str">
        <f>IF(B3="English","Others (Cured resin or duromers)",IF(B3="中国語","其他固性树脂","その他の硬化性樹脂"))</f>
        <v>その他の硬化性樹脂</v>
      </c>
      <c r="O45" s="159" t="str">
        <f>IF(B3="English","Lubricants,Brake fluid, etc",IF(B3="中国語","液体(润滑剂、制动液等)","潤滑剤、ブレーキフルード、他"))</f>
        <v>潤滑剤、ブレーキフルード、他</v>
      </c>
      <c r="P45" s="159"/>
      <c r="Q45" s="159"/>
      <c r="R45" s="103"/>
      <c r="S45" s="103"/>
      <c r="T45" s="103"/>
      <c r="U45" s="159"/>
      <c r="V45" s="159"/>
      <c r="W45" s="159"/>
      <c r="X45" s="159"/>
    </row>
    <row r="46" spans="2:24" s="156" customFormat="1" ht="12" hidden="1" customHeight="1">
      <c r="B46" s="156" t="str">
        <f>IF(B3="English","Vulcanizing Agent",IF(B3="中国語","硫化剂","加硫剤"))</f>
        <v>加硫剤</v>
      </c>
      <c r="M46" s="159" t="str">
        <f>IF(B3="English","Other special metals",IF(B3="中国語","其他特殊金属(银、钯)","その他の特殊金属（銀、パラジウム等）"))</f>
        <v>その他の特殊金属（銀、パラジウム等）</v>
      </c>
      <c r="N46" s="159" t="str">
        <f>IF(B3="English","Others (Rubber/non-thermoplastic Elastomer)",IF(B3="中国語","其他橡胶（非热塑性）、弹性体","（熱可塑でない）エラストマー／エラストマー複合"))</f>
        <v>（熱可塑でない）エラストマー／エラストマー複合</v>
      </c>
      <c r="O46" s="159" t="str">
        <f>IF(B3="English","Others (Powder,etc)",IF(B3="中国語","其他材料（粉末等）","その他材料（粉体ほか）"))</f>
        <v>その他材料（粉体ほか）</v>
      </c>
      <c r="P46" s="159"/>
      <c r="Q46" s="159"/>
      <c r="R46" s="103"/>
      <c r="S46" s="103"/>
      <c r="T46" s="103"/>
      <c r="U46" s="159"/>
      <c r="V46" s="159"/>
      <c r="W46" s="159"/>
      <c r="X46" s="159"/>
    </row>
    <row r="47" spans="2:24" s="156" customFormat="1" ht="12" hidden="1" customHeight="1">
      <c r="B47" s="156" t="str">
        <f>IF(B3="English","Fixing Agent",IF(B3="中国語","黏着剂","固着剤"))</f>
        <v>固着剤</v>
      </c>
      <c r="M47" s="159" t="str">
        <f>IF(B3="English","Titanium and titanium alloys",IF(B3="中国語","钛,钛合金","チタン,チタン合金"))</f>
        <v>チタン,チタン合金</v>
      </c>
      <c r="N47" s="159" t="str">
        <f>IF(B3="English","Polymeric compounds",IF(B3="中国語","高分子复合材料","高分子複合材"))</f>
        <v>高分子複合材</v>
      </c>
      <c r="O47" s="159"/>
      <c r="P47" s="159"/>
      <c r="Q47" s="159"/>
      <c r="R47" s="103"/>
      <c r="S47" s="103"/>
      <c r="T47" s="103"/>
      <c r="U47" s="159"/>
      <c r="V47" s="159"/>
      <c r="W47" s="159"/>
      <c r="X47" s="159"/>
    </row>
    <row r="48" spans="2:24" s="156" customFormat="1" ht="12" hidden="1" customHeight="1">
      <c r="B48" s="156" t="str">
        <f>IF(B3="English","Hardening Agent",IF(B3="中国語","硬化剂","硬化剤"))</f>
        <v>硬化剤</v>
      </c>
      <c r="M48" s="159" t="str">
        <f>IF(B3="English","Other nonferrous metals",IF(B3="中国語","其他有色金属","その他の非鉄金属"))</f>
        <v>その他の非鉄金属</v>
      </c>
      <c r="N48" s="159" t="str">
        <f>IF(B3="English","Plastics (in polymeric compounds)",IF(B3="中国語","高分子复合材中所含树脂","高分子複合材に含まれる樹脂"))</f>
        <v>高分子複合材に含まれる樹脂</v>
      </c>
      <c r="O48" s="159"/>
      <c r="P48" s="159"/>
      <c r="Q48" s="159"/>
      <c r="R48" s="103"/>
      <c r="S48" s="103"/>
      <c r="T48" s="103"/>
      <c r="U48" s="159"/>
      <c r="V48" s="159"/>
      <c r="W48" s="159"/>
      <c r="X48" s="159"/>
    </row>
    <row r="49" spans="2:24" s="156" customFormat="1" ht="12" hidden="1" customHeight="1">
      <c r="B49" s="156" t="str">
        <f>IF(B3="English","Cross-Linking Agent",IF(B3="中国語","交联剂","架橋剤"))</f>
        <v>架橋剤</v>
      </c>
      <c r="M49" s="159" t="str">
        <f>IF(B3="English","Ceramics",IF(B3="中国語","陶瓷","セラミック"))</f>
        <v>セラミック</v>
      </c>
      <c r="N49" s="159" t="str">
        <f>IF(B3="English","Textiles (in polymeric compounds)",IF(B3="中国語","高分子复合材中所含纤维","高分子複合材に含まれる繊維"))</f>
        <v>高分子複合材に含まれる繊維</v>
      </c>
      <c r="O49" s="159"/>
      <c r="P49" s="159"/>
      <c r="Q49" s="159"/>
      <c r="R49" s="103"/>
      <c r="S49" s="103"/>
      <c r="T49" s="103"/>
      <c r="U49" s="159"/>
      <c r="V49" s="159"/>
      <c r="W49" s="159"/>
      <c r="X49" s="159"/>
    </row>
    <row r="50" spans="2:24" s="156" customFormat="1" ht="12" hidden="1" customHeight="1">
      <c r="B50" s="156" t="str">
        <f>IF(B3="English","Lubricant Agent",IF(B3="中国語","润滑剂","潤滑剤"))</f>
        <v>潤滑剤</v>
      </c>
      <c r="M50" s="159" t="str">
        <f>IF(B3="English","Glass",IF(B3="中国語","玻璃","ガラス"))</f>
        <v>ガラス</v>
      </c>
      <c r="N50" s="159"/>
      <c r="O50" s="159"/>
      <c r="P50" s="159"/>
      <c r="Q50" s="159"/>
      <c r="R50" s="103"/>
      <c r="S50" s="103"/>
      <c r="T50" s="103"/>
      <c r="U50" s="159"/>
      <c r="V50" s="159"/>
      <c r="W50" s="159"/>
      <c r="X50" s="159"/>
    </row>
    <row r="51" spans="2:24" s="156" customFormat="1" ht="12" hidden="1" customHeight="1">
      <c r="B51" s="156" t="str">
        <f>IF(B3="English","Coupling Agent",IF(B3="中国語","耦合剂","結合剤"))</f>
        <v>結合剤</v>
      </c>
      <c r="M51" s="159" t="str">
        <f>IF(B3="English","Other inorganic compounds",IF(B3="中国語","其它无机化合物","その他無機化合物"))</f>
        <v>その他無機化合物</v>
      </c>
      <c r="N51" s="159"/>
      <c r="O51" s="159"/>
      <c r="P51" s="159"/>
      <c r="Q51" s="159"/>
      <c r="R51" s="103"/>
      <c r="S51" s="103"/>
      <c r="T51" s="103"/>
      <c r="U51" s="159"/>
      <c r="V51" s="159"/>
      <c r="W51" s="159"/>
      <c r="X51" s="159"/>
    </row>
    <row r="52" spans="2:24" s="156" customFormat="1" ht="12" hidden="1" customHeight="1">
      <c r="B52" s="156" t="str">
        <f>IF(B3="English","Initiator",IF(B3="中国語","聚合引发剂","重合開始剤"))</f>
        <v>重合開始剤</v>
      </c>
      <c r="M52" s="159" t="str">
        <f>IF(B3="English","filled Thermoplastics",IF(B3="中国語","含有填料带（填料）的热可塑树脂","フィラー(充填材)を含有する熱可塑性樹脂"))</f>
        <v>フィラー(充填材)を含有する熱可塑性樹脂</v>
      </c>
      <c r="N52" s="159"/>
      <c r="O52" s="159"/>
      <c r="P52" s="159"/>
      <c r="Q52" s="159"/>
      <c r="R52" s="103"/>
      <c r="S52" s="103"/>
      <c r="T52" s="103"/>
      <c r="U52" s="159"/>
      <c r="V52" s="159"/>
      <c r="W52" s="159"/>
      <c r="X52" s="159"/>
    </row>
    <row r="53" spans="2:24" s="156" customFormat="1" ht="12" hidden="1" customHeight="1">
      <c r="B53" s="156" t="str">
        <f>IF(B3="English","Antistatic Agent",IF(B3="中国語","防静电剂","帯電防止剤"))</f>
        <v>帯電防止剤</v>
      </c>
      <c r="M53" s="159" t="str">
        <f>IF(B3="English","PE (Polyethylene)",IF(B3="中国語","聚乙烯(PE)","PE(ポリエチレン)"))</f>
        <v>PE(ポリエチレン)</v>
      </c>
      <c r="N53" s="159"/>
      <c r="O53" s="159"/>
      <c r="P53" s="159"/>
      <c r="Q53" s="159"/>
      <c r="R53" s="103"/>
      <c r="S53" s="103"/>
      <c r="T53" s="103"/>
      <c r="U53" s="159"/>
      <c r="V53" s="159"/>
      <c r="W53" s="159"/>
      <c r="X53" s="159"/>
    </row>
    <row r="54" spans="2:24" s="156" customFormat="1" ht="12" hidden="1" customHeight="1">
      <c r="B54" s="156" t="str">
        <f>IF(B3="English","Antioxidizing Agent",IF(B3="中国語","防氧化剂","酸化防止剤"))</f>
        <v>酸化防止剤</v>
      </c>
      <c r="M54" s="159" t="str">
        <f>IF(B3="English","PP(Polypropylene)",IF(B3="中国語","聚丙烯 (PP)","PP(ポリプロピレン) "))</f>
        <v xml:space="preserve">PP(ポリプロピレン) </v>
      </c>
      <c r="N54" s="159"/>
      <c r="O54" s="159"/>
      <c r="P54" s="159"/>
      <c r="Q54" s="159"/>
      <c r="R54" s="103"/>
      <c r="S54" s="103"/>
      <c r="T54" s="103"/>
      <c r="U54" s="159"/>
      <c r="V54" s="159"/>
      <c r="W54" s="159"/>
      <c r="X54" s="159"/>
    </row>
    <row r="55" spans="2:24" s="156" customFormat="1" ht="12" hidden="1" customHeight="1">
      <c r="B55" s="156" t="str">
        <f>IF(B3="English","Electric Characteristic Improvement",IF(B3="中国語","改善电气特性","電気特性向上"))</f>
        <v>電気特性向上</v>
      </c>
      <c r="M55" s="159" t="str">
        <f>IF(B3="English","PS (Polystyrene)",IF(B3="聚苯乙烯 (PS)","部位名","PS(ポリスチレン)"))</f>
        <v>PS(ポリスチレン)</v>
      </c>
      <c r="N55" s="159"/>
      <c r="O55" s="159"/>
      <c r="P55" s="159"/>
      <c r="Q55" s="159"/>
      <c r="R55" s="103"/>
      <c r="S55" s="103"/>
      <c r="T55" s="103"/>
      <c r="U55" s="159"/>
      <c r="V55" s="159"/>
      <c r="W55" s="159"/>
      <c r="X55" s="159"/>
    </row>
    <row r="56" spans="2:24" s="156" customFormat="1" ht="12" hidden="1" customHeight="1">
      <c r="B56" s="156" t="str">
        <f>IF(B3="English","Optical Characterist Improvement",IF(B3="中国語","改善光学特性","光学特性向上"))</f>
        <v>光学特性向上</v>
      </c>
      <c r="M56" s="159" t="str">
        <f>IF(B3="English","PVC (Poly vinyl chloride)",IF(B3="中国語","聚氯乙烯 (PVC)","PVC(ポリ塩化ビニル)"))</f>
        <v>PVC(ポリ塩化ビニル)</v>
      </c>
      <c r="N56" s="159"/>
      <c r="O56" s="159"/>
      <c r="P56" s="159"/>
      <c r="Q56" s="159"/>
      <c r="R56" s="103"/>
      <c r="S56" s="103"/>
      <c r="T56" s="103"/>
      <c r="U56" s="159"/>
      <c r="V56" s="159"/>
      <c r="W56" s="159"/>
      <c r="X56" s="159"/>
    </row>
    <row r="57" spans="2:24" s="156" customFormat="1" ht="12" hidden="1" customHeight="1">
      <c r="B57" s="156" t="str">
        <f>IF(B3="English","Mechanical Characteristic Improvement",IF(B3="中国語","盖上机械特性","機械特性向上"))</f>
        <v>機械特性向上</v>
      </c>
      <c r="M57" s="159" t="str">
        <f>IF(B3="English","PC (Polycarbonate)",IF(B3="中国語","聚碳酸酯 (PC)","PC(ポリカーボネート)"))</f>
        <v>PC(ポリカーボネート)</v>
      </c>
      <c r="N57" s="159"/>
      <c r="O57" s="159"/>
      <c r="P57" s="159"/>
      <c r="Q57" s="159"/>
      <c r="R57" s="103"/>
      <c r="S57" s="103"/>
      <c r="T57" s="103"/>
      <c r="U57" s="159"/>
      <c r="V57" s="159"/>
      <c r="W57" s="159"/>
      <c r="X57" s="159"/>
    </row>
    <row r="58" spans="2:24" s="156" customFormat="1" ht="12" hidden="1" customHeight="1">
      <c r="B58" s="156" t="str">
        <f>IF(B3="English","Flame Resistance Improvement",IF(B3="中国語","改善阻燃性","難燃性向上"))</f>
        <v>難燃性向上</v>
      </c>
      <c r="M58" s="159" t="str">
        <f>IF(B3="English","POM (Polyacetal)",IF(B3="中国語","聚缩醛 (POM)","POM(ポリアセタール)"))</f>
        <v>POM(ポリアセタール)</v>
      </c>
      <c r="N58" s="159"/>
      <c r="O58" s="159"/>
      <c r="P58" s="159"/>
      <c r="Q58" s="159"/>
      <c r="R58" s="103"/>
      <c r="S58" s="103"/>
      <c r="T58" s="103"/>
      <c r="U58" s="159"/>
      <c r="V58" s="159"/>
      <c r="W58" s="159"/>
      <c r="X58" s="159"/>
    </row>
    <row r="59" spans="2:24" s="156" customFormat="1" ht="12" hidden="1" customHeight="1">
      <c r="B59" s="156" t="str">
        <f>IF(B3="English","Thermal Stability",IF(B3="中国語","改善热稳定性","熱安定性向上"))</f>
        <v>熱安定性向上</v>
      </c>
      <c r="M59" s="159" t="str">
        <f>IF(B3="English","A(B)S Poly(acrylonitrile (-butadiene)-styrene)",IF(B3="中国語","丙烯腈丁二烯苯乙烯树脂 (ABS)","ABS"))</f>
        <v>ABS</v>
      </c>
      <c r="N59" s="159"/>
      <c r="O59" s="159"/>
      <c r="P59" s="159"/>
      <c r="Q59" s="159"/>
      <c r="R59" s="103"/>
      <c r="S59" s="103"/>
      <c r="T59" s="103"/>
      <c r="U59" s="159"/>
      <c r="V59" s="159"/>
      <c r="W59" s="159"/>
      <c r="X59" s="159"/>
    </row>
    <row r="60" spans="2:24" s="156" customFormat="1" ht="12" hidden="1" customHeight="1">
      <c r="B60" s="156" t="str">
        <f>IF(B3="English","Machining Improvement",IF(B3="中国語","改善加工性","加工性向上"))</f>
        <v>加工性向上</v>
      </c>
      <c r="M60" s="159" t="str">
        <f>IF(B3="English","PA (Polyamide)",IF(B3="中国語","聚酰胺 (PA)","PA(ポリアミド)"))</f>
        <v>PA(ポリアミド)</v>
      </c>
      <c r="N60" s="159"/>
      <c r="O60" s="159"/>
      <c r="P60" s="159"/>
      <c r="Q60" s="159"/>
      <c r="R60" s="103"/>
      <c r="S60" s="103"/>
      <c r="T60" s="103"/>
      <c r="U60" s="159"/>
      <c r="V60" s="159"/>
      <c r="W60" s="159"/>
      <c r="X60" s="159"/>
    </row>
    <row r="61" spans="2:24" s="156" customFormat="1" ht="12" hidden="1" customHeight="1">
      <c r="B61" s="156" t="str">
        <f>IF(B3="English","Corrosion Resistance Improvement",IF(B3="中国語","改善防锈性","防錆性向上"))</f>
        <v>防錆性向上</v>
      </c>
      <c r="M61" s="159" t="str">
        <f>IF(B3="English","PET (Poly ethylene terephthalate )",IF(B3="中国語","聚对苯二甲酸乙二醇酯 (PET)","PET(ポリエチレンテレフタレート)"))</f>
        <v>PET(ポリエチレンテレフタレート)</v>
      </c>
      <c r="N61" s="159"/>
      <c r="O61" s="159"/>
      <c r="P61" s="159"/>
      <c r="Q61" s="159"/>
      <c r="R61" s="103"/>
      <c r="S61" s="103"/>
      <c r="T61" s="103"/>
      <c r="U61" s="159"/>
      <c r="V61" s="159"/>
      <c r="W61" s="159"/>
      <c r="X61" s="159"/>
    </row>
    <row r="62" spans="2:24" s="156" customFormat="1" ht="12" hidden="1" customHeight="1">
      <c r="B62" s="156" t="str">
        <f>IF(B3="English","Moistureproof Improvement",IF(B3="中国語","改善防湿性","防湿性向上"))</f>
        <v>防湿性向上</v>
      </c>
      <c r="M62" s="159" t="str">
        <f>IF(B3="English","PPE ((Modified) polyphenylene ether)",IF(B3="中国語","聚苯醚 (PPE)","PPE"))</f>
        <v>PPE</v>
      </c>
      <c r="N62" s="159"/>
      <c r="O62" s="159"/>
      <c r="P62" s="159"/>
      <c r="Q62" s="159"/>
      <c r="R62" s="103"/>
      <c r="S62" s="103"/>
      <c r="T62" s="103"/>
      <c r="U62" s="159"/>
      <c r="V62" s="159"/>
      <c r="W62" s="159"/>
      <c r="X62" s="159"/>
    </row>
    <row r="63" spans="2:24" s="156" customFormat="1" ht="12" hidden="1" customHeight="1">
      <c r="B63" s="156" t="str">
        <f>IF(B3="English","Insulation Improvement",IF(B3="中国語","改善绝缘性","絶縁性向上"))</f>
        <v>絶縁性向上</v>
      </c>
      <c r="M63" s="159" t="str">
        <f>IF(B3="English","Thermoplastic elastomer",IF(B3="中国語","热塑性弹性体","熱可塑性エラストマ"))</f>
        <v>熱可塑性エラストマ</v>
      </c>
      <c r="N63" s="159"/>
      <c r="O63" s="159"/>
      <c r="P63" s="159"/>
      <c r="Q63" s="159"/>
      <c r="R63" s="103"/>
      <c r="S63" s="103"/>
      <c r="T63" s="103"/>
      <c r="U63" s="159"/>
      <c r="V63" s="159"/>
      <c r="W63" s="159"/>
      <c r="X63" s="159"/>
    </row>
    <row r="64" spans="2:24" s="156" customFormat="1" ht="12" hidden="1" customHeight="1">
      <c r="B64" s="156" t="str">
        <f>IF(B3="English","Conduction Improvement",IF(B3="中国語","改善导电性","導電性向上"))</f>
        <v>導電性向上</v>
      </c>
      <c r="M64" s="159" t="str">
        <f>IF(B3="English","Other thermoplastics",IF(B3="中国語","其他热塑性树脂","その他の熱可塑性樹脂"))</f>
        <v>その他の熱可塑性樹脂</v>
      </c>
      <c r="N64" s="159"/>
      <c r="O64" s="159"/>
      <c r="P64" s="159"/>
      <c r="Q64" s="159"/>
      <c r="R64" s="103"/>
      <c r="S64" s="103"/>
      <c r="T64" s="103"/>
      <c r="U64" s="159"/>
      <c r="V64" s="159"/>
      <c r="W64" s="159"/>
      <c r="X64" s="159"/>
    </row>
    <row r="65" spans="1:24" s="156" customFormat="1" ht="12" hidden="1" customHeight="1">
      <c r="B65" s="156" t="str">
        <f>IF(B3="English","Decay Resistance Improvement",IF(B3="中国語","改善耐用性","耐久性向上"))</f>
        <v>耐久性向上</v>
      </c>
      <c r="M65" s="159" t="str">
        <f>IF(B3="English","PUR (Polyurethane)",IF(B3="中国語","聚氨酯 (PUR)","ポリウレタン"))</f>
        <v>ポリウレタン</v>
      </c>
      <c r="N65" s="159"/>
      <c r="O65" s="159"/>
      <c r="P65" s="159"/>
      <c r="Q65" s="159"/>
      <c r="R65" s="103"/>
      <c r="S65" s="103"/>
      <c r="T65" s="103"/>
      <c r="U65" s="159"/>
      <c r="V65" s="159"/>
      <c r="W65" s="159"/>
      <c r="X65" s="159"/>
    </row>
    <row r="66" spans="1:24" s="156" customFormat="1" ht="12" hidden="1" customHeight="1">
      <c r="B66" s="156" t="str">
        <f>IF(B3="English","Oil Resistance Improvement",IF(B3="中国語","改善耐油性","耐油性向上"))</f>
        <v>耐油性向上</v>
      </c>
      <c r="M66" s="159" t="str">
        <f>IF(B3="English","UP (Unsaturated polyester)",IF(B3="中国語","不饱和聚酯 (UP)","不飽和ポリエステル"))</f>
        <v>不飽和ポリエステル</v>
      </c>
      <c r="N66" s="159"/>
      <c r="O66" s="159"/>
      <c r="P66" s="159"/>
      <c r="Q66" s="159"/>
      <c r="R66" s="103"/>
      <c r="S66" s="103"/>
      <c r="T66" s="103"/>
      <c r="U66" s="159"/>
      <c r="V66" s="159"/>
      <c r="W66" s="159"/>
      <c r="X66" s="159"/>
    </row>
    <row r="67" spans="1:24" s="156" customFormat="1" ht="12" hidden="1" customHeight="1">
      <c r="B67" s="156" t="str">
        <f>IF(B3="English","Burning Resistance Improvement",IF(B3="中国語","改善耐热性","耐熱性向上"))</f>
        <v>耐熱性向上</v>
      </c>
      <c r="M67" s="159" t="str">
        <f>IF(B3="English","EP (Epoxy resin)",IF(B3="中国語","环氧树脂 (EP)","エポキシ樹脂"))</f>
        <v>エポキシ樹脂</v>
      </c>
      <c r="N67" s="159"/>
      <c r="O67" s="159"/>
      <c r="P67" s="159"/>
      <c r="Q67" s="159"/>
      <c r="R67" s="103"/>
      <c r="S67" s="103"/>
      <c r="T67" s="103"/>
      <c r="U67" s="159"/>
      <c r="V67" s="159"/>
      <c r="W67" s="159"/>
      <c r="X67" s="159"/>
    </row>
    <row r="68" spans="1:24" s="156" customFormat="1" ht="12" hidden="1" customHeight="1">
      <c r="B68" s="156" t="str">
        <f>IF(B3="English","Waterproof Improvement",IF(B3="中国語","改善耐水性","耐水性向上"))</f>
        <v>耐水性向上</v>
      </c>
      <c r="M68" s="159" t="str">
        <f>IF(B3="English","Others (Cured resin or duromers)",IF(B3="中国語","其他固性树脂","その他の硬化性樹脂"))</f>
        <v>その他の硬化性樹脂</v>
      </c>
      <c r="N68" s="159"/>
      <c r="O68" s="159"/>
      <c r="P68" s="159"/>
      <c r="Q68" s="159"/>
      <c r="R68" s="103"/>
      <c r="S68" s="103"/>
      <c r="T68" s="103"/>
      <c r="U68" s="159"/>
      <c r="V68" s="159"/>
      <c r="W68" s="159"/>
      <c r="X68" s="159"/>
    </row>
    <row r="69" spans="1:24" s="156" customFormat="1" ht="12" hidden="1" customHeight="1">
      <c r="B69" s="156" t="str">
        <f>IF(B3="English","Corporate Secret",IF(B3="中国語","企业秘密","企業秘密"))</f>
        <v>企業秘密</v>
      </c>
      <c r="M69" s="159" t="str">
        <f>IF(B3="English","Others (Rubber/non-thermoplastic Elastomer)",IF(B3="中国語","其他橡胶（非热塑性）、弹性体","（熱可塑でない）エラストマー／エラストマー複合"))</f>
        <v>（熱可塑でない）エラストマー／エラストマー複合</v>
      </c>
      <c r="N69" s="159"/>
      <c r="O69" s="159"/>
      <c r="P69" s="159"/>
      <c r="Q69" s="159"/>
      <c r="R69" s="103"/>
      <c r="S69" s="103"/>
      <c r="T69" s="103"/>
      <c r="U69" s="159"/>
      <c r="V69" s="159"/>
      <c r="W69" s="159"/>
      <c r="X69" s="159"/>
    </row>
    <row r="70" spans="1:24" s="156" customFormat="1" ht="12" hidden="1" customHeight="1">
      <c r="B70" s="156" t="str">
        <f>IF(B3="English","Others",IF(B3="中国語","不符合","該当無し"))</f>
        <v>該当無し</v>
      </c>
      <c r="M70" s="159" t="str">
        <f>IF(B3="English","Polymeric compounds",IF(B3="中国語","高分子复合材料","高分子複合材"))</f>
        <v>高分子複合材</v>
      </c>
      <c r="N70" s="159"/>
      <c r="O70" s="159"/>
      <c r="P70" s="159"/>
      <c r="Q70" s="159"/>
      <c r="R70" s="103"/>
      <c r="S70" s="103"/>
      <c r="T70" s="103"/>
      <c r="U70" s="159"/>
      <c r="V70" s="159"/>
      <c r="W70" s="159"/>
      <c r="X70" s="159"/>
    </row>
    <row r="71" spans="1:24" s="156" customFormat="1" ht="12" hidden="1" customHeight="1">
      <c r="M71" s="159" t="str">
        <f>IF(B3="English","Plastics (in polymeric compounds)",IF(B3="中国語","高分子复合材中所含树脂","高分子複合材に含まれる樹脂"))</f>
        <v>高分子複合材に含まれる樹脂</v>
      </c>
      <c r="N71" s="159"/>
      <c r="O71" s="159"/>
      <c r="P71" s="159"/>
      <c r="Q71" s="159"/>
      <c r="R71" s="103"/>
      <c r="S71" s="103"/>
      <c r="T71" s="103"/>
      <c r="U71" s="159"/>
      <c r="V71" s="159"/>
      <c r="W71" s="159"/>
      <c r="X71" s="159"/>
    </row>
    <row r="72" spans="1:24" s="156" customFormat="1" ht="12" hidden="1" customHeight="1">
      <c r="M72" s="159" t="str">
        <f>IF(B3="English","Textiles (in polymeric compounds)",IF(B3="中国語","高分子复合材中所含纤维","高分子複合材に含まれる繊維"))</f>
        <v>高分子複合材に含まれる繊維</v>
      </c>
      <c r="N72" s="159"/>
      <c r="O72" s="159"/>
      <c r="P72" s="159"/>
      <c r="Q72" s="159"/>
      <c r="R72" s="103"/>
      <c r="S72" s="103"/>
      <c r="T72" s="103"/>
      <c r="U72" s="159"/>
      <c r="V72" s="159"/>
      <c r="W72" s="159"/>
      <c r="X72" s="159"/>
    </row>
    <row r="73" spans="1:24" s="156" customFormat="1" ht="12" hidden="1" customHeight="1">
      <c r="M73" s="159" t="str">
        <f>IF(B3="English","Wood",IF(B3="中国語","木材","木材"))</f>
        <v>木材</v>
      </c>
      <c r="N73" s="159"/>
      <c r="O73" s="159"/>
      <c r="P73" s="159"/>
      <c r="Q73" s="159"/>
      <c r="R73" s="103"/>
      <c r="S73" s="103"/>
      <c r="T73" s="103"/>
      <c r="U73" s="159"/>
      <c r="V73" s="159"/>
      <c r="W73" s="159"/>
      <c r="X73" s="159"/>
    </row>
    <row r="74" spans="1:24" s="156" customFormat="1" ht="12" hidden="1" customHeight="1">
      <c r="M74" s="159" t="str">
        <f>IF(B3="English","Paper",IF(B3="纸","部位名","紙"))</f>
        <v>紙</v>
      </c>
      <c r="N74" s="159"/>
      <c r="O74" s="159"/>
      <c r="P74" s="159"/>
      <c r="Q74" s="159"/>
      <c r="R74" s="103"/>
      <c r="S74" s="103"/>
      <c r="T74" s="103"/>
      <c r="U74" s="159"/>
      <c r="V74" s="159"/>
      <c r="W74" s="159"/>
      <c r="X74" s="159"/>
    </row>
    <row r="75" spans="1:24" s="156" customFormat="1" ht="12" hidden="1" customHeight="1">
      <c r="M75" s="159" t="str">
        <f>IF(B3="English","Fiber",IF(B3="中国語","纤维","繊維"))</f>
        <v>繊維</v>
      </c>
      <c r="N75" s="159"/>
      <c r="O75" s="159"/>
      <c r="P75" s="159"/>
      <c r="Q75" s="159"/>
      <c r="R75" s="103"/>
      <c r="S75" s="103"/>
      <c r="T75" s="103"/>
      <c r="U75" s="159"/>
      <c r="V75" s="159"/>
      <c r="W75" s="159"/>
      <c r="X75" s="159"/>
    </row>
    <row r="76" spans="1:24" s="156" customFormat="1" ht="12" hidden="1" customHeight="1">
      <c r="M76" s="159" t="str">
        <f>IF(B3="English","Leather",IF(B3="中国語","皮革","皮革"))</f>
        <v>皮革</v>
      </c>
      <c r="N76" s="159"/>
      <c r="O76" s="159"/>
      <c r="P76" s="159"/>
      <c r="Q76" s="159"/>
      <c r="R76" s="103"/>
      <c r="S76" s="103"/>
      <c r="T76" s="103"/>
      <c r="U76" s="159"/>
      <c r="V76" s="159"/>
      <c r="W76" s="159"/>
      <c r="X76" s="159"/>
    </row>
    <row r="77" spans="1:24" ht="10.199999999999999" customHeight="1">
      <c r="A77" s="152"/>
      <c r="B77" s="160"/>
      <c r="C77" s="160"/>
      <c r="D77" s="152"/>
      <c r="E77" s="152"/>
      <c r="F77" s="152"/>
      <c r="G77" s="152"/>
      <c r="H77" s="154"/>
      <c r="I77" s="155"/>
      <c r="J77" s="155"/>
      <c r="K77" s="155"/>
      <c r="L77" s="155"/>
      <c r="R77" s="230"/>
      <c r="S77" s="230"/>
      <c r="T77" s="230"/>
    </row>
    <row r="78" spans="1:24" s="164" customFormat="1" ht="25.5" customHeight="1">
      <c r="A78" s="271" t="s">
        <v>3</v>
      </c>
      <c r="B78" s="273" t="str">
        <f>IF(B3="English","Component Name",IF(B3="中国語","部品名","部品名"))</f>
        <v>部品名</v>
      </c>
      <c r="C78" s="161" t="str">
        <f>IF(B3="English","Quantity",IF(B3="中国語","数量","数"))</f>
        <v>数</v>
      </c>
      <c r="D78" s="254" t="str">
        <f>IF(B3="English","Region Name",IF(B3="中国語","部位名","部位名"))</f>
        <v>部位名</v>
      </c>
      <c r="E78" s="274" t="str">
        <f>IF(B3="English","Material Name",IF(B3="中国語","材料名","材料名"))</f>
        <v>材料名</v>
      </c>
      <c r="F78" s="275"/>
      <c r="G78" s="276"/>
      <c r="H78" s="254" t="str">
        <f>IF(B3="English","Raw material manufacturer",IF(B3="中国語","材料制造商","材料メーカー"))</f>
        <v>材料メーカー</v>
      </c>
      <c r="I78" s="254" t="str">
        <f>IF(B3="English","Model(Type)",IF(C3="中国語"," 型式（Type）","型式（Type）"))</f>
        <v>型式（Type）</v>
      </c>
      <c r="J78" s="256" t="str">
        <f>IF(B3="English","Region Mass",IF(B3="中国語","部位的
质量","部位質量"))</f>
        <v>部位質量</v>
      </c>
      <c r="K78" s="257"/>
      <c r="L78" s="258"/>
      <c r="M78" s="162" t="str">
        <f>IF(B3="English","Total Region Mass",IF(B3="中国語","総部位的
质量","総部位
質量"))</f>
        <v>総部位
質量</v>
      </c>
      <c r="N78" s="269" t="str">
        <f>IF(B3="English","Substance Name",IF(B3="中国語","物质名称","物質名"))</f>
        <v>物質名</v>
      </c>
      <c r="O78" s="269" t="str">
        <f>IF(B3="English","CAS/No.",IF(B3="中国語","CAS番号","CAS番号"))</f>
        <v>CAS番号</v>
      </c>
      <c r="P78" s="269" t="str">
        <f>IF(B3="English","Concentration(wt%)",IF(B3="中国語","含有率(wt%)","含有率(wt%)"))</f>
        <v>含有率(wt%)</v>
      </c>
      <c r="Q78" s="163" t="str">
        <f>IF(B3="English","Substance Mass",IF(B3="中国語","物质的
质量","物質質量"))</f>
        <v>物質質量</v>
      </c>
      <c r="R78" s="269" t="str">
        <f>IF(B3="English","Cause of Use",IF(B3="中国語","使用目的
・用途","使用目的
・用途"))</f>
        <v>使用目的
・用途</v>
      </c>
      <c r="S78" s="265" t="str">
        <f>IF(B3="English","RoHS directive exemption No.",IF(B3="中国語","RoHS指令
适用除外No.","RoHS指令
適用除外.No."))</f>
        <v>RoHS指令
適用除外.No.</v>
      </c>
      <c r="T78" s="267" t="str">
        <f>IF(B3="English","Intentional or Impurity,
Note",IF(B3="中国語","有意/杂质, 
备注","意図的/不純物, 
備考"))</f>
        <v>意図的/不純物, 
備考</v>
      </c>
    </row>
    <row r="79" spans="1:24" s="164" customFormat="1" ht="18.75" customHeight="1">
      <c r="A79" s="272"/>
      <c r="B79" s="255"/>
      <c r="C79" s="165" t="str">
        <f>G22</f>
        <v>pcs</v>
      </c>
      <c r="D79" s="270"/>
      <c r="E79" s="277"/>
      <c r="F79" s="278"/>
      <c r="G79" s="279"/>
      <c r="H79" s="255"/>
      <c r="I79" s="255"/>
      <c r="J79" s="166" t="str">
        <f>E22</f>
        <v>g</v>
      </c>
      <c r="K79" s="167" t="s">
        <v>20</v>
      </c>
      <c r="L79" s="168" t="str">
        <f>G22</f>
        <v>pcs</v>
      </c>
      <c r="M79" s="169" t="str">
        <f>E22</f>
        <v>g</v>
      </c>
      <c r="N79" s="255"/>
      <c r="O79" s="255"/>
      <c r="P79" s="255"/>
      <c r="Q79" s="170" t="str">
        <f>E22</f>
        <v>g</v>
      </c>
      <c r="R79" s="255"/>
      <c r="S79" s="266"/>
      <c r="T79" s="268"/>
    </row>
    <row r="80" spans="1:24" s="164" customFormat="1">
      <c r="A80" s="171">
        <v>1</v>
      </c>
      <c r="B80" s="197"/>
      <c r="C80" s="198"/>
      <c r="D80" s="199"/>
      <c r="E80" s="246"/>
      <c r="F80" s="247"/>
      <c r="G80" s="248"/>
      <c r="H80" s="200"/>
      <c r="I80" s="200"/>
      <c r="J80" s="252"/>
      <c r="K80" s="253"/>
      <c r="L80" s="251"/>
      <c r="M80" s="172" t="str">
        <f t="shared" ref="M80:M99" si="0">IF(J80="","",V80*J80)</f>
        <v/>
      </c>
      <c r="N80" s="201"/>
      <c r="O80" s="197"/>
      <c r="P80" s="202"/>
      <c r="Q80" s="173" t="str">
        <f t="shared" ref="Q80:Q99" si="1">IF(P80="","",W80*P80/100)</f>
        <v/>
      </c>
      <c r="R80" s="69"/>
      <c r="S80" s="208"/>
      <c r="T80" s="209"/>
      <c r="V80" s="174">
        <f>C80</f>
        <v>0</v>
      </c>
      <c r="W80" s="174" t="str">
        <f>M80</f>
        <v/>
      </c>
    </row>
    <row r="81" spans="1:23" s="164" customFormat="1">
      <c r="A81" s="171">
        <f>A80+1</f>
        <v>2</v>
      </c>
      <c r="B81" s="197"/>
      <c r="C81" s="198"/>
      <c r="D81" s="199"/>
      <c r="E81" s="246"/>
      <c r="F81" s="247"/>
      <c r="G81" s="248"/>
      <c r="H81" s="200"/>
      <c r="I81" s="200"/>
      <c r="J81" s="249"/>
      <c r="K81" s="250"/>
      <c r="L81" s="251"/>
      <c r="M81" s="172" t="str">
        <f t="shared" si="0"/>
        <v/>
      </c>
      <c r="N81" s="201"/>
      <c r="O81" s="197"/>
      <c r="P81" s="202"/>
      <c r="Q81" s="173" t="str">
        <f t="shared" si="1"/>
        <v/>
      </c>
      <c r="R81" s="69"/>
      <c r="S81" s="208"/>
      <c r="T81" s="209"/>
      <c r="V81" s="175">
        <f t="shared" ref="V81:V99" si="2">IF(C81="",V80,C81)</f>
        <v>0</v>
      </c>
      <c r="W81" s="175" t="str">
        <f t="shared" ref="W81:W123" si="3">IF(M81="",W80,M81)</f>
        <v/>
      </c>
    </row>
    <row r="82" spans="1:23" s="164" customFormat="1">
      <c r="A82" s="171">
        <f t="shared" ref="A82:A123" si="4">A81+1</f>
        <v>3</v>
      </c>
      <c r="B82" s="197"/>
      <c r="C82" s="198"/>
      <c r="D82" s="199"/>
      <c r="E82" s="246"/>
      <c r="F82" s="247"/>
      <c r="G82" s="248"/>
      <c r="H82" s="200"/>
      <c r="I82" s="200"/>
      <c r="J82" s="249"/>
      <c r="K82" s="250"/>
      <c r="L82" s="251"/>
      <c r="M82" s="172" t="str">
        <f t="shared" si="0"/>
        <v/>
      </c>
      <c r="N82" s="203"/>
      <c r="O82" s="204"/>
      <c r="P82" s="202"/>
      <c r="Q82" s="173" t="str">
        <f t="shared" si="1"/>
        <v/>
      </c>
      <c r="R82" s="69"/>
      <c r="S82" s="208"/>
      <c r="T82" s="209"/>
      <c r="V82" s="175">
        <f t="shared" si="2"/>
        <v>0</v>
      </c>
      <c r="W82" s="175" t="str">
        <f t="shared" si="3"/>
        <v/>
      </c>
    </row>
    <row r="83" spans="1:23" s="164" customFormat="1">
      <c r="A83" s="171">
        <f t="shared" si="4"/>
        <v>4</v>
      </c>
      <c r="B83" s="197"/>
      <c r="C83" s="198"/>
      <c r="D83" s="199"/>
      <c r="E83" s="246"/>
      <c r="F83" s="247"/>
      <c r="G83" s="248"/>
      <c r="H83" s="200"/>
      <c r="I83" s="200"/>
      <c r="J83" s="249"/>
      <c r="K83" s="250"/>
      <c r="L83" s="251"/>
      <c r="M83" s="172" t="str">
        <f t="shared" si="0"/>
        <v/>
      </c>
      <c r="N83" s="203"/>
      <c r="O83" s="205"/>
      <c r="P83" s="202"/>
      <c r="Q83" s="173" t="str">
        <f t="shared" si="1"/>
        <v/>
      </c>
      <c r="R83" s="69"/>
      <c r="S83" s="208"/>
      <c r="T83" s="209"/>
      <c r="V83" s="175">
        <f t="shared" si="2"/>
        <v>0</v>
      </c>
      <c r="W83" s="175" t="str">
        <f t="shared" si="3"/>
        <v/>
      </c>
    </row>
    <row r="84" spans="1:23" s="164" customFormat="1">
      <c r="A84" s="171">
        <f t="shared" si="4"/>
        <v>5</v>
      </c>
      <c r="B84" s="197"/>
      <c r="C84" s="198"/>
      <c r="D84" s="199"/>
      <c r="E84" s="246"/>
      <c r="F84" s="247"/>
      <c r="G84" s="248"/>
      <c r="H84" s="200"/>
      <c r="I84" s="200"/>
      <c r="J84" s="249"/>
      <c r="K84" s="250"/>
      <c r="L84" s="251"/>
      <c r="M84" s="172" t="str">
        <f t="shared" si="0"/>
        <v/>
      </c>
      <c r="N84" s="203"/>
      <c r="O84" s="197"/>
      <c r="P84" s="202"/>
      <c r="Q84" s="173" t="str">
        <f t="shared" si="1"/>
        <v/>
      </c>
      <c r="R84" s="69"/>
      <c r="S84" s="208"/>
      <c r="T84" s="209"/>
      <c r="V84" s="175">
        <f t="shared" si="2"/>
        <v>0</v>
      </c>
      <c r="W84" s="175" t="str">
        <f t="shared" si="3"/>
        <v/>
      </c>
    </row>
    <row r="85" spans="1:23" s="164" customFormat="1">
      <c r="A85" s="171">
        <f t="shared" si="4"/>
        <v>6</v>
      </c>
      <c r="B85" s="197"/>
      <c r="C85" s="198"/>
      <c r="D85" s="197"/>
      <c r="E85" s="246"/>
      <c r="F85" s="247"/>
      <c r="G85" s="248"/>
      <c r="H85" s="200"/>
      <c r="I85" s="200"/>
      <c r="J85" s="249"/>
      <c r="K85" s="250"/>
      <c r="L85" s="251"/>
      <c r="M85" s="172" t="str">
        <f t="shared" si="0"/>
        <v/>
      </c>
      <c r="N85" s="203"/>
      <c r="O85" s="197"/>
      <c r="P85" s="206"/>
      <c r="Q85" s="173" t="str">
        <f t="shared" si="1"/>
        <v/>
      </c>
      <c r="R85" s="69"/>
      <c r="S85" s="208"/>
      <c r="T85" s="209"/>
      <c r="V85" s="175">
        <f t="shared" si="2"/>
        <v>0</v>
      </c>
      <c r="W85" s="175" t="str">
        <f t="shared" si="3"/>
        <v/>
      </c>
    </row>
    <row r="86" spans="1:23" s="164" customFormat="1">
      <c r="A86" s="171">
        <f t="shared" si="4"/>
        <v>7</v>
      </c>
      <c r="B86" s="197"/>
      <c r="C86" s="198"/>
      <c r="D86" s="199"/>
      <c r="E86" s="246"/>
      <c r="F86" s="247"/>
      <c r="G86" s="248"/>
      <c r="H86" s="200"/>
      <c r="I86" s="200"/>
      <c r="J86" s="249"/>
      <c r="K86" s="250"/>
      <c r="L86" s="251"/>
      <c r="M86" s="172" t="str">
        <f t="shared" si="0"/>
        <v/>
      </c>
      <c r="N86" s="203"/>
      <c r="O86" s="197"/>
      <c r="P86" s="206"/>
      <c r="Q86" s="173" t="str">
        <f t="shared" si="1"/>
        <v/>
      </c>
      <c r="R86" s="69"/>
      <c r="S86" s="208"/>
      <c r="T86" s="209"/>
      <c r="V86" s="175">
        <f t="shared" si="2"/>
        <v>0</v>
      </c>
      <c r="W86" s="175" t="str">
        <f t="shared" si="3"/>
        <v/>
      </c>
    </row>
    <row r="87" spans="1:23" s="164" customFormat="1">
      <c r="A87" s="171">
        <f t="shared" si="4"/>
        <v>8</v>
      </c>
      <c r="B87" s="197"/>
      <c r="C87" s="198"/>
      <c r="D87" s="199"/>
      <c r="E87" s="246"/>
      <c r="F87" s="247"/>
      <c r="G87" s="248"/>
      <c r="H87" s="200"/>
      <c r="I87" s="200"/>
      <c r="J87" s="252"/>
      <c r="K87" s="253"/>
      <c r="L87" s="251"/>
      <c r="M87" s="172" t="str">
        <f t="shared" si="0"/>
        <v/>
      </c>
      <c r="N87" s="203"/>
      <c r="O87" s="197"/>
      <c r="P87" s="206"/>
      <c r="Q87" s="173" t="str">
        <f t="shared" si="1"/>
        <v/>
      </c>
      <c r="R87" s="69"/>
      <c r="S87" s="208"/>
      <c r="T87" s="209"/>
      <c r="V87" s="175">
        <f t="shared" si="2"/>
        <v>0</v>
      </c>
      <c r="W87" s="175" t="str">
        <f t="shared" si="3"/>
        <v/>
      </c>
    </row>
    <row r="88" spans="1:23" s="164" customFormat="1">
      <c r="A88" s="171">
        <f t="shared" si="4"/>
        <v>9</v>
      </c>
      <c r="B88" s="197"/>
      <c r="C88" s="198"/>
      <c r="D88" s="199"/>
      <c r="E88" s="246"/>
      <c r="F88" s="247"/>
      <c r="G88" s="248"/>
      <c r="H88" s="200"/>
      <c r="I88" s="200"/>
      <c r="J88" s="249"/>
      <c r="K88" s="250"/>
      <c r="L88" s="251"/>
      <c r="M88" s="172" t="str">
        <f t="shared" si="0"/>
        <v/>
      </c>
      <c r="N88" s="203"/>
      <c r="O88" s="197"/>
      <c r="P88" s="206"/>
      <c r="Q88" s="173" t="str">
        <f t="shared" si="1"/>
        <v/>
      </c>
      <c r="R88" s="69"/>
      <c r="S88" s="210"/>
      <c r="T88" s="209"/>
      <c r="V88" s="175">
        <f t="shared" si="2"/>
        <v>0</v>
      </c>
      <c r="W88" s="175" t="str">
        <f t="shared" si="3"/>
        <v/>
      </c>
    </row>
    <row r="89" spans="1:23" s="164" customFormat="1">
      <c r="A89" s="171">
        <f t="shared" si="4"/>
        <v>10</v>
      </c>
      <c r="B89" s="197"/>
      <c r="C89" s="198"/>
      <c r="D89" s="199"/>
      <c r="E89" s="246"/>
      <c r="F89" s="247"/>
      <c r="G89" s="248"/>
      <c r="H89" s="200"/>
      <c r="I89" s="200"/>
      <c r="J89" s="249"/>
      <c r="K89" s="250"/>
      <c r="L89" s="251"/>
      <c r="M89" s="172" t="str">
        <f t="shared" si="0"/>
        <v/>
      </c>
      <c r="N89" s="203"/>
      <c r="O89" s="197"/>
      <c r="P89" s="206"/>
      <c r="Q89" s="173" t="str">
        <f t="shared" si="1"/>
        <v/>
      </c>
      <c r="R89" s="69"/>
      <c r="S89" s="210"/>
      <c r="T89" s="209"/>
      <c r="V89" s="175">
        <f t="shared" si="2"/>
        <v>0</v>
      </c>
      <c r="W89" s="175" t="str">
        <f t="shared" si="3"/>
        <v/>
      </c>
    </row>
    <row r="90" spans="1:23" s="164" customFormat="1">
      <c r="A90" s="171">
        <f t="shared" si="4"/>
        <v>11</v>
      </c>
      <c r="B90" s="197"/>
      <c r="C90" s="198"/>
      <c r="D90" s="199"/>
      <c r="E90" s="246"/>
      <c r="F90" s="247"/>
      <c r="G90" s="248"/>
      <c r="H90" s="200"/>
      <c r="I90" s="200"/>
      <c r="J90" s="249"/>
      <c r="K90" s="250"/>
      <c r="L90" s="251"/>
      <c r="M90" s="172" t="str">
        <f t="shared" si="0"/>
        <v/>
      </c>
      <c r="N90" s="203"/>
      <c r="O90" s="197"/>
      <c r="P90" s="206"/>
      <c r="Q90" s="173" t="str">
        <f t="shared" si="1"/>
        <v/>
      </c>
      <c r="R90" s="69"/>
      <c r="S90" s="210"/>
      <c r="T90" s="209"/>
      <c r="V90" s="175">
        <f t="shared" si="2"/>
        <v>0</v>
      </c>
      <c r="W90" s="175" t="str">
        <f t="shared" si="3"/>
        <v/>
      </c>
    </row>
    <row r="91" spans="1:23" s="164" customFormat="1">
      <c r="A91" s="171">
        <f t="shared" si="4"/>
        <v>12</v>
      </c>
      <c r="B91" s="197"/>
      <c r="C91" s="198"/>
      <c r="D91" s="199"/>
      <c r="E91" s="246"/>
      <c r="F91" s="247"/>
      <c r="G91" s="248"/>
      <c r="H91" s="200"/>
      <c r="I91" s="200"/>
      <c r="J91" s="249"/>
      <c r="K91" s="250"/>
      <c r="L91" s="251"/>
      <c r="M91" s="172" t="str">
        <f t="shared" si="0"/>
        <v/>
      </c>
      <c r="N91" s="203"/>
      <c r="O91" s="197"/>
      <c r="P91" s="202"/>
      <c r="Q91" s="173" t="str">
        <f t="shared" si="1"/>
        <v/>
      </c>
      <c r="R91" s="69"/>
      <c r="S91" s="208"/>
      <c r="T91" s="209"/>
      <c r="V91" s="175">
        <f t="shared" si="2"/>
        <v>0</v>
      </c>
      <c r="W91" s="175" t="str">
        <f t="shared" si="3"/>
        <v/>
      </c>
    </row>
    <row r="92" spans="1:23" s="164" customFormat="1">
      <c r="A92" s="171">
        <f t="shared" si="4"/>
        <v>13</v>
      </c>
      <c r="B92" s="197"/>
      <c r="C92" s="198"/>
      <c r="D92" s="199"/>
      <c r="E92" s="246"/>
      <c r="F92" s="247"/>
      <c r="G92" s="248"/>
      <c r="H92" s="200"/>
      <c r="I92" s="200"/>
      <c r="J92" s="249"/>
      <c r="K92" s="250"/>
      <c r="L92" s="251"/>
      <c r="M92" s="172" t="str">
        <f t="shared" si="0"/>
        <v/>
      </c>
      <c r="N92" s="203"/>
      <c r="O92" s="197"/>
      <c r="P92" s="202"/>
      <c r="Q92" s="173" t="str">
        <f t="shared" si="1"/>
        <v/>
      </c>
      <c r="R92" s="69"/>
      <c r="S92" s="208"/>
      <c r="T92" s="209"/>
      <c r="V92" s="175">
        <f t="shared" si="2"/>
        <v>0</v>
      </c>
      <c r="W92" s="175" t="str">
        <f t="shared" si="3"/>
        <v/>
      </c>
    </row>
    <row r="93" spans="1:23" s="164" customFormat="1">
      <c r="A93" s="171">
        <f t="shared" si="4"/>
        <v>14</v>
      </c>
      <c r="B93" s="197"/>
      <c r="C93" s="198"/>
      <c r="D93" s="199"/>
      <c r="E93" s="246"/>
      <c r="F93" s="247"/>
      <c r="G93" s="248"/>
      <c r="H93" s="200"/>
      <c r="I93" s="200"/>
      <c r="J93" s="249"/>
      <c r="K93" s="250"/>
      <c r="L93" s="251"/>
      <c r="M93" s="172" t="str">
        <f t="shared" si="0"/>
        <v/>
      </c>
      <c r="N93" s="203"/>
      <c r="O93" s="197"/>
      <c r="P93" s="202"/>
      <c r="Q93" s="173" t="str">
        <f t="shared" si="1"/>
        <v/>
      </c>
      <c r="R93" s="69"/>
      <c r="S93" s="208"/>
      <c r="T93" s="209"/>
      <c r="V93" s="175">
        <f t="shared" si="2"/>
        <v>0</v>
      </c>
      <c r="W93" s="175" t="str">
        <f t="shared" si="3"/>
        <v/>
      </c>
    </row>
    <row r="94" spans="1:23" s="164" customFormat="1">
      <c r="A94" s="171">
        <f t="shared" si="4"/>
        <v>15</v>
      </c>
      <c r="B94" s="197"/>
      <c r="C94" s="198"/>
      <c r="D94" s="199"/>
      <c r="E94" s="246"/>
      <c r="F94" s="247"/>
      <c r="G94" s="248"/>
      <c r="H94" s="200"/>
      <c r="I94" s="200"/>
      <c r="J94" s="252"/>
      <c r="K94" s="253"/>
      <c r="L94" s="251"/>
      <c r="M94" s="172" t="str">
        <f t="shared" si="0"/>
        <v/>
      </c>
      <c r="N94" s="203"/>
      <c r="O94" s="197"/>
      <c r="P94" s="202"/>
      <c r="Q94" s="173" t="str">
        <f t="shared" si="1"/>
        <v/>
      </c>
      <c r="R94" s="69"/>
      <c r="S94" s="208"/>
      <c r="T94" s="209"/>
      <c r="V94" s="175">
        <f t="shared" si="2"/>
        <v>0</v>
      </c>
      <c r="W94" s="175" t="str">
        <f t="shared" si="3"/>
        <v/>
      </c>
    </row>
    <row r="95" spans="1:23" s="164" customFormat="1">
      <c r="A95" s="171">
        <f t="shared" si="4"/>
        <v>16</v>
      </c>
      <c r="B95" s="197"/>
      <c r="C95" s="198"/>
      <c r="D95" s="199"/>
      <c r="E95" s="246"/>
      <c r="F95" s="247"/>
      <c r="G95" s="248"/>
      <c r="H95" s="200"/>
      <c r="I95" s="200"/>
      <c r="J95" s="249"/>
      <c r="K95" s="250"/>
      <c r="L95" s="251"/>
      <c r="M95" s="172" t="str">
        <f t="shared" si="0"/>
        <v/>
      </c>
      <c r="N95" s="203"/>
      <c r="O95" s="197"/>
      <c r="P95" s="202"/>
      <c r="Q95" s="173" t="str">
        <f t="shared" si="1"/>
        <v/>
      </c>
      <c r="R95" s="69"/>
      <c r="S95" s="208"/>
      <c r="T95" s="209"/>
      <c r="V95" s="175">
        <f t="shared" si="2"/>
        <v>0</v>
      </c>
      <c r="W95" s="175" t="str">
        <f t="shared" si="3"/>
        <v/>
      </c>
    </row>
    <row r="96" spans="1:23" s="164" customFormat="1">
      <c r="A96" s="171">
        <f t="shared" si="4"/>
        <v>17</v>
      </c>
      <c r="B96" s="197"/>
      <c r="C96" s="198"/>
      <c r="D96" s="199"/>
      <c r="E96" s="246"/>
      <c r="F96" s="247"/>
      <c r="G96" s="248"/>
      <c r="H96" s="200"/>
      <c r="I96" s="200"/>
      <c r="J96" s="249"/>
      <c r="K96" s="250"/>
      <c r="L96" s="251"/>
      <c r="M96" s="172" t="str">
        <f t="shared" si="0"/>
        <v/>
      </c>
      <c r="N96" s="203"/>
      <c r="O96" s="197"/>
      <c r="P96" s="202"/>
      <c r="Q96" s="173" t="str">
        <f t="shared" si="1"/>
        <v/>
      </c>
      <c r="R96" s="69"/>
      <c r="S96" s="208"/>
      <c r="T96" s="209"/>
      <c r="V96" s="175">
        <f t="shared" si="2"/>
        <v>0</v>
      </c>
      <c r="W96" s="175" t="str">
        <f t="shared" si="3"/>
        <v/>
      </c>
    </row>
    <row r="97" spans="1:23" s="164" customFormat="1">
      <c r="A97" s="171">
        <f t="shared" si="4"/>
        <v>18</v>
      </c>
      <c r="B97" s="197"/>
      <c r="C97" s="198"/>
      <c r="D97" s="199"/>
      <c r="E97" s="246"/>
      <c r="F97" s="247"/>
      <c r="G97" s="248"/>
      <c r="H97" s="200"/>
      <c r="I97" s="200"/>
      <c r="J97" s="252"/>
      <c r="K97" s="253"/>
      <c r="L97" s="251"/>
      <c r="M97" s="172" t="str">
        <f t="shared" si="0"/>
        <v/>
      </c>
      <c r="N97" s="203"/>
      <c r="O97" s="197"/>
      <c r="P97" s="202"/>
      <c r="Q97" s="173" t="str">
        <f t="shared" si="1"/>
        <v/>
      </c>
      <c r="R97" s="69"/>
      <c r="S97" s="208"/>
      <c r="T97" s="209"/>
      <c r="V97" s="175">
        <f t="shared" si="2"/>
        <v>0</v>
      </c>
      <c r="W97" s="175" t="str">
        <f t="shared" si="3"/>
        <v/>
      </c>
    </row>
    <row r="98" spans="1:23" s="164" customFormat="1">
      <c r="A98" s="171">
        <f t="shared" si="4"/>
        <v>19</v>
      </c>
      <c r="B98" s="197"/>
      <c r="C98" s="198"/>
      <c r="D98" s="199"/>
      <c r="E98" s="246"/>
      <c r="F98" s="247"/>
      <c r="G98" s="248"/>
      <c r="H98" s="200"/>
      <c r="I98" s="200"/>
      <c r="J98" s="249"/>
      <c r="K98" s="250"/>
      <c r="L98" s="251"/>
      <c r="M98" s="172" t="str">
        <f t="shared" si="0"/>
        <v/>
      </c>
      <c r="N98" s="203"/>
      <c r="O98" s="197"/>
      <c r="P98" s="202"/>
      <c r="Q98" s="173" t="str">
        <f t="shared" si="1"/>
        <v/>
      </c>
      <c r="R98" s="69"/>
      <c r="S98" s="208"/>
      <c r="T98" s="209"/>
      <c r="V98" s="175">
        <f t="shared" si="2"/>
        <v>0</v>
      </c>
      <c r="W98" s="175" t="str">
        <f t="shared" si="3"/>
        <v/>
      </c>
    </row>
    <row r="99" spans="1:23" s="164" customFormat="1">
      <c r="A99" s="171">
        <f t="shared" si="4"/>
        <v>20</v>
      </c>
      <c r="B99" s="197"/>
      <c r="C99" s="198"/>
      <c r="D99" s="199"/>
      <c r="E99" s="246"/>
      <c r="F99" s="247"/>
      <c r="G99" s="248"/>
      <c r="H99" s="200"/>
      <c r="I99" s="200"/>
      <c r="J99" s="249"/>
      <c r="K99" s="250"/>
      <c r="L99" s="251"/>
      <c r="M99" s="172" t="str">
        <f t="shared" si="0"/>
        <v/>
      </c>
      <c r="N99" s="207"/>
      <c r="O99" s="197"/>
      <c r="P99" s="202"/>
      <c r="Q99" s="173" t="str">
        <f t="shared" si="1"/>
        <v/>
      </c>
      <c r="R99" s="69"/>
      <c r="S99" s="208"/>
      <c r="T99" s="209"/>
      <c r="V99" s="175">
        <f t="shared" si="2"/>
        <v>0</v>
      </c>
      <c r="W99" s="175" t="str">
        <f t="shared" si="3"/>
        <v/>
      </c>
    </row>
    <row r="100" spans="1:23" ht="9" customHeight="1">
      <c r="A100" s="191"/>
      <c r="B100" s="179"/>
      <c r="D100" s="190"/>
      <c r="E100" s="192"/>
      <c r="F100" s="192"/>
      <c r="G100" s="192"/>
      <c r="H100" s="192"/>
      <c r="O100" s="117"/>
    </row>
    <row r="101" spans="1:23" ht="17.25" customHeight="1">
      <c r="I101" s="183"/>
      <c r="J101" s="183"/>
      <c r="K101" s="183"/>
      <c r="L101" s="183"/>
      <c r="M101" s="183"/>
      <c r="N101" s="186"/>
      <c r="O101" s="183"/>
      <c r="P101" s="140"/>
      <c r="Q101" s="140"/>
      <c r="R101" s="137"/>
      <c r="S101" s="233" t="s">
        <v>63</v>
      </c>
      <c r="T101" s="234"/>
    </row>
    <row r="102" spans="1:23" ht="24.45" customHeight="1">
      <c r="A102" s="191"/>
      <c r="B102" s="303" t="str">
        <f>IF(B3="English","Survey Report of Chemical Substance in Products",IF(B2="中国語","产品含有化学物质调查表","製品含有化学物質調査表"))</f>
        <v>製品含有化学物質調査表</v>
      </c>
      <c r="C102" s="304"/>
      <c r="D102" s="304"/>
      <c r="E102" s="304"/>
      <c r="F102" s="304"/>
      <c r="G102" s="304"/>
      <c r="H102" s="304"/>
      <c r="I102" s="304"/>
      <c r="J102" s="304"/>
      <c r="K102" s="304"/>
      <c r="L102" s="304"/>
      <c r="M102" s="304"/>
      <c r="O102" s="117"/>
      <c r="T102" s="188" t="s">
        <v>60</v>
      </c>
    </row>
    <row r="103" spans="1:23" ht="16.2" customHeight="1">
      <c r="A103" s="191"/>
      <c r="B103" s="179"/>
      <c r="D103" s="190"/>
      <c r="E103" s="192"/>
      <c r="F103" s="192"/>
      <c r="G103" s="192"/>
      <c r="H103" s="192"/>
      <c r="O103" s="117"/>
    </row>
    <row r="104" spans="1:23" s="164" customFormat="1">
      <c r="A104" s="171">
        <f>A99+1</f>
        <v>21</v>
      </c>
      <c r="B104" s="197"/>
      <c r="C104" s="198"/>
      <c r="D104" s="199"/>
      <c r="E104" s="246"/>
      <c r="F104" s="247"/>
      <c r="G104" s="248"/>
      <c r="H104" s="200"/>
      <c r="I104" s="200"/>
      <c r="J104" s="252"/>
      <c r="K104" s="253"/>
      <c r="L104" s="251"/>
      <c r="M104" s="172" t="str">
        <f t="shared" ref="M104:M123" si="5">IF(J104="","",V104*J104)</f>
        <v/>
      </c>
      <c r="N104" s="201"/>
      <c r="O104" s="197"/>
      <c r="P104" s="202"/>
      <c r="Q104" s="173" t="str">
        <f t="shared" ref="Q104:Q123" si="6">IF(P104="","",W104*P104/100)</f>
        <v/>
      </c>
      <c r="R104" s="69"/>
      <c r="S104" s="208"/>
      <c r="T104" s="209"/>
      <c r="V104" s="175">
        <f>IF(C104="",V99,C104)</f>
        <v>0</v>
      </c>
      <c r="W104" s="175" t="str">
        <f>IF(M104="",W99,M104)</f>
        <v/>
      </c>
    </row>
    <row r="105" spans="1:23" s="164" customFormat="1">
      <c r="A105" s="171">
        <f t="shared" si="4"/>
        <v>22</v>
      </c>
      <c r="B105" s="197"/>
      <c r="C105" s="198"/>
      <c r="D105" s="199"/>
      <c r="E105" s="246"/>
      <c r="F105" s="247"/>
      <c r="G105" s="248"/>
      <c r="H105" s="200"/>
      <c r="I105" s="200"/>
      <c r="J105" s="249"/>
      <c r="K105" s="250"/>
      <c r="L105" s="251"/>
      <c r="M105" s="172" t="str">
        <f t="shared" si="5"/>
        <v/>
      </c>
      <c r="N105" s="201"/>
      <c r="O105" s="197"/>
      <c r="P105" s="202"/>
      <c r="Q105" s="173" t="str">
        <f t="shared" si="6"/>
        <v/>
      </c>
      <c r="R105" s="69"/>
      <c r="S105" s="208"/>
      <c r="T105" s="209"/>
      <c r="V105" s="175">
        <f t="shared" ref="V105:V123" si="7">IF(C105="",V104,C105)</f>
        <v>0</v>
      </c>
      <c r="W105" s="175" t="str">
        <f t="shared" si="3"/>
        <v/>
      </c>
    </row>
    <row r="106" spans="1:23" s="164" customFormat="1">
      <c r="A106" s="171">
        <f t="shared" si="4"/>
        <v>23</v>
      </c>
      <c r="B106" s="197"/>
      <c r="C106" s="198"/>
      <c r="D106" s="199"/>
      <c r="E106" s="246"/>
      <c r="F106" s="247"/>
      <c r="G106" s="248"/>
      <c r="H106" s="200"/>
      <c r="I106" s="200"/>
      <c r="J106" s="249"/>
      <c r="K106" s="250"/>
      <c r="L106" s="251"/>
      <c r="M106" s="172" t="str">
        <f t="shared" si="5"/>
        <v/>
      </c>
      <c r="N106" s="203"/>
      <c r="O106" s="204"/>
      <c r="P106" s="202"/>
      <c r="Q106" s="173" t="str">
        <f t="shared" si="6"/>
        <v/>
      </c>
      <c r="R106" s="69"/>
      <c r="S106" s="208"/>
      <c r="T106" s="209"/>
      <c r="V106" s="175">
        <f t="shared" si="7"/>
        <v>0</v>
      </c>
      <c r="W106" s="175" t="str">
        <f t="shared" si="3"/>
        <v/>
      </c>
    </row>
    <row r="107" spans="1:23" s="164" customFormat="1">
      <c r="A107" s="171">
        <f t="shared" si="4"/>
        <v>24</v>
      </c>
      <c r="B107" s="197"/>
      <c r="C107" s="198"/>
      <c r="D107" s="199"/>
      <c r="E107" s="246"/>
      <c r="F107" s="247"/>
      <c r="G107" s="248"/>
      <c r="H107" s="200"/>
      <c r="I107" s="200"/>
      <c r="J107" s="249"/>
      <c r="K107" s="250"/>
      <c r="L107" s="251"/>
      <c r="M107" s="172" t="str">
        <f t="shared" si="5"/>
        <v/>
      </c>
      <c r="N107" s="203"/>
      <c r="O107" s="205"/>
      <c r="P107" s="202"/>
      <c r="Q107" s="173" t="str">
        <f t="shared" si="6"/>
        <v/>
      </c>
      <c r="R107" s="69"/>
      <c r="S107" s="208"/>
      <c r="T107" s="209"/>
      <c r="V107" s="175">
        <f t="shared" si="7"/>
        <v>0</v>
      </c>
      <c r="W107" s="175" t="str">
        <f t="shared" si="3"/>
        <v/>
      </c>
    </row>
    <row r="108" spans="1:23" s="164" customFormat="1">
      <c r="A108" s="171">
        <f t="shared" si="4"/>
        <v>25</v>
      </c>
      <c r="B108" s="197"/>
      <c r="C108" s="198"/>
      <c r="D108" s="199"/>
      <c r="E108" s="246"/>
      <c r="F108" s="247"/>
      <c r="G108" s="248"/>
      <c r="H108" s="200"/>
      <c r="I108" s="200"/>
      <c r="J108" s="249"/>
      <c r="K108" s="250"/>
      <c r="L108" s="251"/>
      <c r="M108" s="172" t="str">
        <f t="shared" si="5"/>
        <v/>
      </c>
      <c r="N108" s="203"/>
      <c r="O108" s="197"/>
      <c r="P108" s="202"/>
      <c r="Q108" s="173" t="str">
        <f t="shared" si="6"/>
        <v/>
      </c>
      <c r="R108" s="69"/>
      <c r="S108" s="208"/>
      <c r="T108" s="209"/>
      <c r="V108" s="175">
        <f t="shared" si="7"/>
        <v>0</v>
      </c>
      <c r="W108" s="175" t="str">
        <f t="shared" si="3"/>
        <v/>
      </c>
    </row>
    <row r="109" spans="1:23" s="164" customFormat="1">
      <c r="A109" s="171">
        <f t="shared" si="4"/>
        <v>26</v>
      </c>
      <c r="B109" s="197"/>
      <c r="C109" s="198"/>
      <c r="D109" s="197"/>
      <c r="E109" s="246"/>
      <c r="F109" s="247"/>
      <c r="G109" s="248"/>
      <c r="H109" s="200"/>
      <c r="I109" s="200"/>
      <c r="J109" s="249"/>
      <c r="K109" s="250"/>
      <c r="L109" s="251"/>
      <c r="M109" s="172" t="str">
        <f t="shared" si="5"/>
        <v/>
      </c>
      <c r="N109" s="203"/>
      <c r="O109" s="197"/>
      <c r="P109" s="206"/>
      <c r="Q109" s="173" t="str">
        <f t="shared" si="6"/>
        <v/>
      </c>
      <c r="R109" s="69"/>
      <c r="S109" s="208"/>
      <c r="T109" s="209"/>
      <c r="V109" s="175">
        <f t="shared" si="7"/>
        <v>0</v>
      </c>
      <c r="W109" s="175" t="str">
        <f t="shared" si="3"/>
        <v/>
      </c>
    </row>
    <row r="110" spans="1:23" s="164" customFormat="1">
      <c r="A110" s="171">
        <f t="shared" si="4"/>
        <v>27</v>
      </c>
      <c r="B110" s="197"/>
      <c r="C110" s="198"/>
      <c r="D110" s="199"/>
      <c r="E110" s="246"/>
      <c r="F110" s="247"/>
      <c r="G110" s="248"/>
      <c r="H110" s="200"/>
      <c r="I110" s="200"/>
      <c r="J110" s="249"/>
      <c r="K110" s="250"/>
      <c r="L110" s="251"/>
      <c r="M110" s="172" t="str">
        <f t="shared" si="5"/>
        <v/>
      </c>
      <c r="N110" s="203"/>
      <c r="O110" s="197"/>
      <c r="P110" s="206"/>
      <c r="Q110" s="173" t="str">
        <f t="shared" si="6"/>
        <v/>
      </c>
      <c r="R110" s="69"/>
      <c r="S110" s="208"/>
      <c r="T110" s="209"/>
      <c r="V110" s="175">
        <f t="shared" si="7"/>
        <v>0</v>
      </c>
      <c r="W110" s="175" t="str">
        <f t="shared" si="3"/>
        <v/>
      </c>
    </row>
    <row r="111" spans="1:23" s="164" customFormat="1">
      <c r="A111" s="171">
        <f t="shared" si="4"/>
        <v>28</v>
      </c>
      <c r="B111" s="197"/>
      <c r="C111" s="198"/>
      <c r="D111" s="199"/>
      <c r="E111" s="246"/>
      <c r="F111" s="247"/>
      <c r="G111" s="248"/>
      <c r="H111" s="200"/>
      <c r="I111" s="200"/>
      <c r="J111" s="252"/>
      <c r="K111" s="253"/>
      <c r="L111" s="251"/>
      <c r="M111" s="172" t="str">
        <f t="shared" si="5"/>
        <v/>
      </c>
      <c r="N111" s="203"/>
      <c r="O111" s="197"/>
      <c r="P111" s="206"/>
      <c r="Q111" s="173" t="str">
        <f t="shared" si="6"/>
        <v/>
      </c>
      <c r="R111" s="69"/>
      <c r="S111" s="208"/>
      <c r="T111" s="209"/>
      <c r="V111" s="175">
        <f t="shared" si="7"/>
        <v>0</v>
      </c>
      <c r="W111" s="175" t="str">
        <f t="shared" si="3"/>
        <v/>
      </c>
    </row>
    <row r="112" spans="1:23" s="164" customFormat="1">
      <c r="A112" s="171">
        <f t="shared" si="4"/>
        <v>29</v>
      </c>
      <c r="B112" s="197"/>
      <c r="C112" s="198"/>
      <c r="D112" s="199"/>
      <c r="E112" s="246"/>
      <c r="F112" s="247"/>
      <c r="G112" s="248"/>
      <c r="H112" s="200"/>
      <c r="I112" s="200"/>
      <c r="J112" s="249"/>
      <c r="K112" s="250"/>
      <c r="L112" s="251"/>
      <c r="M112" s="172" t="str">
        <f t="shared" si="5"/>
        <v/>
      </c>
      <c r="N112" s="203"/>
      <c r="O112" s="197"/>
      <c r="P112" s="206"/>
      <c r="Q112" s="173" t="str">
        <f t="shared" si="6"/>
        <v/>
      </c>
      <c r="R112" s="69"/>
      <c r="S112" s="210"/>
      <c r="T112" s="209"/>
      <c r="V112" s="175">
        <f t="shared" si="7"/>
        <v>0</v>
      </c>
      <c r="W112" s="175" t="str">
        <f t="shared" si="3"/>
        <v/>
      </c>
    </row>
    <row r="113" spans="1:23" s="164" customFormat="1">
      <c r="A113" s="171">
        <f t="shared" si="4"/>
        <v>30</v>
      </c>
      <c r="B113" s="197"/>
      <c r="C113" s="198"/>
      <c r="D113" s="199"/>
      <c r="E113" s="246"/>
      <c r="F113" s="247"/>
      <c r="G113" s="248"/>
      <c r="H113" s="200"/>
      <c r="I113" s="200"/>
      <c r="J113" s="249"/>
      <c r="K113" s="250"/>
      <c r="L113" s="251"/>
      <c r="M113" s="172" t="str">
        <f t="shared" si="5"/>
        <v/>
      </c>
      <c r="N113" s="203"/>
      <c r="O113" s="197"/>
      <c r="P113" s="206"/>
      <c r="Q113" s="173" t="str">
        <f t="shared" si="6"/>
        <v/>
      </c>
      <c r="R113" s="69"/>
      <c r="S113" s="210"/>
      <c r="T113" s="209"/>
      <c r="V113" s="175">
        <f t="shared" si="7"/>
        <v>0</v>
      </c>
      <c r="W113" s="175" t="str">
        <f t="shared" si="3"/>
        <v/>
      </c>
    </row>
    <row r="114" spans="1:23" s="164" customFormat="1">
      <c r="A114" s="171">
        <f t="shared" si="4"/>
        <v>31</v>
      </c>
      <c r="B114" s="197"/>
      <c r="C114" s="198"/>
      <c r="D114" s="199"/>
      <c r="E114" s="246"/>
      <c r="F114" s="247"/>
      <c r="G114" s="248"/>
      <c r="H114" s="200"/>
      <c r="I114" s="200"/>
      <c r="J114" s="249"/>
      <c r="K114" s="250"/>
      <c r="L114" s="251"/>
      <c r="M114" s="172" t="str">
        <f t="shared" si="5"/>
        <v/>
      </c>
      <c r="N114" s="203"/>
      <c r="O114" s="197"/>
      <c r="P114" s="206"/>
      <c r="Q114" s="173" t="str">
        <f t="shared" si="6"/>
        <v/>
      </c>
      <c r="R114" s="69"/>
      <c r="S114" s="210"/>
      <c r="T114" s="209"/>
      <c r="V114" s="175">
        <f t="shared" si="7"/>
        <v>0</v>
      </c>
      <c r="W114" s="175" t="str">
        <f t="shared" si="3"/>
        <v/>
      </c>
    </row>
    <row r="115" spans="1:23" s="164" customFormat="1">
      <c r="A115" s="171">
        <f t="shared" si="4"/>
        <v>32</v>
      </c>
      <c r="B115" s="197"/>
      <c r="C115" s="198"/>
      <c r="D115" s="199"/>
      <c r="E115" s="246"/>
      <c r="F115" s="247"/>
      <c r="G115" s="248"/>
      <c r="H115" s="200"/>
      <c r="I115" s="200"/>
      <c r="J115" s="249"/>
      <c r="K115" s="250"/>
      <c r="L115" s="251"/>
      <c r="M115" s="172" t="str">
        <f t="shared" si="5"/>
        <v/>
      </c>
      <c r="N115" s="203"/>
      <c r="O115" s="197"/>
      <c r="P115" s="202"/>
      <c r="Q115" s="173" t="str">
        <f t="shared" si="6"/>
        <v/>
      </c>
      <c r="R115" s="69"/>
      <c r="S115" s="208"/>
      <c r="T115" s="209"/>
      <c r="V115" s="175">
        <f t="shared" si="7"/>
        <v>0</v>
      </c>
      <c r="W115" s="175" t="str">
        <f t="shared" si="3"/>
        <v/>
      </c>
    </row>
    <row r="116" spans="1:23" s="164" customFormat="1">
      <c r="A116" s="171">
        <f t="shared" si="4"/>
        <v>33</v>
      </c>
      <c r="B116" s="197"/>
      <c r="C116" s="198"/>
      <c r="D116" s="199"/>
      <c r="E116" s="246"/>
      <c r="F116" s="247"/>
      <c r="G116" s="248"/>
      <c r="H116" s="200"/>
      <c r="I116" s="200"/>
      <c r="J116" s="249"/>
      <c r="K116" s="250"/>
      <c r="L116" s="251"/>
      <c r="M116" s="172" t="str">
        <f t="shared" si="5"/>
        <v/>
      </c>
      <c r="N116" s="203"/>
      <c r="O116" s="197"/>
      <c r="P116" s="202"/>
      <c r="Q116" s="173" t="str">
        <f t="shared" si="6"/>
        <v/>
      </c>
      <c r="R116" s="69"/>
      <c r="S116" s="208"/>
      <c r="T116" s="209"/>
      <c r="V116" s="175">
        <f t="shared" si="7"/>
        <v>0</v>
      </c>
      <c r="W116" s="175" t="str">
        <f t="shared" si="3"/>
        <v/>
      </c>
    </row>
    <row r="117" spans="1:23" s="164" customFormat="1">
      <c r="A117" s="171">
        <f t="shared" si="4"/>
        <v>34</v>
      </c>
      <c r="B117" s="197"/>
      <c r="C117" s="198"/>
      <c r="D117" s="199"/>
      <c r="E117" s="246"/>
      <c r="F117" s="247"/>
      <c r="G117" s="248"/>
      <c r="H117" s="200"/>
      <c r="I117" s="200"/>
      <c r="J117" s="249"/>
      <c r="K117" s="250"/>
      <c r="L117" s="251"/>
      <c r="M117" s="172" t="str">
        <f t="shared" si="5"/>
        <v/>
      </c>
      <c r="N117" s="203"/>
      <c r="O117" s="197"/>
      <c r="P117" s="202"/>
      <c r="Q117" s="173" t="str">
        <f t="shared" si="6"/>
        <v/>
      </c>
      <c r="R117" s="69"/>
      <c r="S117" s="208"/>
      <c r="T117" s="209"/>
      <c r="V117" s="175">
        <f t="shared" si="7"/>
        <v>0</v>
      </c>
      <c r="W117" s="175" t="str">
        <f t="shared" si="3"/>
        <v/>
      </c>
    </row>
    <row r="118" spans="1:23" s="164" customFormat="1">
      <c r="A118" s="171">
        <f t="shared" si="4"/>
        <v>35</v>
      </c>
      <c r="B118" s="197"/>
      <c r="C118" s="198"/>
      <c r="D118" s="199"/>
      <c r="E118" s="246"/>
      <c r="F118" s="247"/>
      <c r="G118" s="248"/>
      <c r="H118" s="200"/>
      <c r="I118" s="200"/>
      <c r="J118" s="252"/>
      <c r="K118" s="253"/>
      <c r="L118" s="251"/>
      <c r="M118" s="172" t="str">
        <f t="shared" si="5"/>
        <v/>
      </c>
      <c r="N118" s="203"/>
      <c r="O118" s="197"/>
      <c r="P118" s="202"/>
      <c r="Q118" s="173" t="str">
        <f t="shared" si="6"/>
        <v/>
      </c>
      <c r="R118" s="69"/>
      <c r="S118" s="208"/>
      <c r="T118" s="209"/>
      <c r="V118" s="175">
        <f t="shared" si="7"/>
        <v>0</v>
      </c>
      <c r="W118" s="175" t="str">
        <f t="shared" si="3"/>
        <v/>
      </c>
    </row>
    <row r="119" spans="1:23" s="164" customFormat="1">
      <c r="A119" s="171">
        <f t="shared" si="4"/>
        <v>36</v>
      </c>
      <c r="B119" s="197"/>
      <c r="C119" s="198"/>
      <c r="D119" s="199"/>
      <c r="E119" s="246"/>
      <c r="F119" s="247"/>
      <c r="G119" s="248"/>
      <c r="H119" s="200"/>
      <c r="I119" s="200"/>
      <c r="J119" s="249"/>
      <c r="K119" s="250"/>
      <c r="L119" s="251"/>
      <c r="M119" s="172" t="str">
        <f t="shared" si="5"/>
        <v/>
      </c>
      <c r="N119" s="203"/>
      <c r="O119" s="197"/>
      <c r="P119" s="202"/>
      <c r="Q119" s="173" t="str">
        <f t="shared" si="6"/>
        <v/>
      </c>
      <c r="R119" s="69"/>
      <c r="S119" s="208"/>
      <c r="T119" s="212"/>
      <c r="V119" s="175">
        <f t="shared" si="7"/>
        <v>0</v>
      </c>
      <c r="W119" s="175" t="str">
        <f t="shared" si="3"/>
        <v/>
      </c>
    </row>
    <row r="120" spans="1:23" s="164" customFormat="1">
      <c r="A120" s="171">
        <f t="shared" si="4"/>
        <v>37</v>
      </c>
      <c r="B120" s="197"/>
      <c r="C120" s="198"/>
      <c r="D120" s="199"/>
      <c r="E120" s="246"/>
      <c r="F120" s="247"/>
      <c r="G120" s="248"/>
      <c r="H120" s="200"/>
      <c r="I120" s="200"/>
      <c r="J120" s="249"/>
      <c r="K120" s="250"/>
      <c r="L120" s="251"/>
      <c r="M120" s="172" t="str">
        <f t="shared" si="5"/>
        <v/>
      </c>
      <c r="N120" s="203"/>
      <c r="O120" s="197"/>
      <c r="P120" s="202"/>
      <c r="Q120" s="173" t="str">
        <f t="shared" si="6"/>
        <v/>
      </c>
      <c r="R120" s="69"/>
      <c r="S120" s="208"/>
      <c r="T120" s="209"/>
      <c r="V120" s="175">
        <f t="shared" si="7"/>
        <v>0</v>
      </c>
      <c r="W120" s="175" t="str">
        <f t="shared" si="3"/>
        <v/>
      </c>
    </row>
    <row r="121" spans="1:23" s="164" customFormat="1">
      <c r="A121" s="171">
        <f t="shared" si="4"/>
        <v>38</v>
      </c>
      <c r="B121" s="197"/>
      <c r="C121" s="198"/>
      <c r="D121" s="199"/>
      <c r="E121" s="246"/>
      <c r="F121" s="247"/>
      <c r="G121" s="248"/>
      <c r="H121" s="200"/>
      <c r="I121" s="200"/>
      <c r="J121" s="252"/>
      <c r="K121" s="253"/>
      <c r="L121" s="251"/>
      <c r="M121" s="172" t="str">
        <f t="shared" si="5"/>
        <v/>
      </c>
      <c r="N121" s="203"/>
      <c r="O121" s="197"/>
      <c r="P121" s="202"/>
      <c r="Q121" s="173" t="str">
        <f t="shared" si="6"/>
        <v/>
      </c>
      <c r="R121" s="69"/>
      <c r="S121" s="208"/>
      <c r="T121" s="212"/>
      <c r="V121" s="175">
        <f t="shared" si="7"/>
        <v>0</v>
      </c>
      <c r="W121" s="175" t="str">
        <f t="shared" si="3"/>
        <v/>
      </c>
    </row>
    <row r="122" spans="1:23" s="164" customFormat="1">
      <c r="A122" s="171">
        <f t="shared" si="4"/>
        <v>39</v>
      </c>
      <c r="B122" s="197"/>
      <c r="C122" s="198"/>
      <c r="D122" s="199"/>
      <c r="E122" s="246"/>
      <c r="F122" s="247"/>
      <c r="G122" s="248"/>
      <c r="H122" s="200"/>
      <c r="I122" s="200"/>
      <c r="J122" s="249"/>
      <c r="K122" s="250"/>
      <c r="L122" s="251"/>
      <c r="M122" s="172" t="str">
        <f t="shared" si="5"/>
        <v/>
      </c>
      <c r="N122" s="203"/>
      <c r="O122" s="197"/>
      <c r="P122" s="202"/>
      <c r="Q122" s="173" t="str">
        <f t="shared" si="6"/>
        <v/>
      </c>
      <c r="R122" s="69"/>
      <c r="S122" s="208"/>
      <c r="T122" s="212"/>
      <c r="V122" s="175">
        <f t="shared" si="7"/>
        <v>0</v>
      </c>
      <c r="W122" s="175" t="str">
        <f t="shared" si="3"/>
        <v/>
      </c>
    </row>
    <row r="123" spans="1:23" s="164" customFormat="1">
      <c r="A123" s="171">
        <f t="shared" si="4"/>
        <v>40</v>
      </c>
      <c r="B123" s="197"/>
      <c r="C123" s="198"/>
      <c r="D123" s="199"/>
      <c r="E123" s="246"/>
      <c r="F123" s="247"/>
      <c r="G123" s="248"/>
      <c r="H123" s="200"/>
      <c r="I123" s="200"/>
      <c r="J123" s="249"/>
      <c r="K123" s="250"/>
      <c r="L123" s="251"/>
      <c r="M123" s="172" t="str">
        <f t="shared" si="5"/>
        <v/>
      </c>
      <c r="N123" s="207"/>
      <c r="O123" s="197"/>
      <c r="P123" s="202"/>
      <c r="Q123" s="173" t="str">
        <f t="shared" si="6"/>
        <v/>
      </c>
      <c r="R123" s="69"/>
      <c r="S123" s="208"/>
      <c r="T123" s="212"/>
      <c r="V123" s="175">
        <f t="shared" si="7"/>
        <v>0</v>
      </c>
      <c r="W123" s="175" t="str">
        <f t="shared" si="3"/>
        <v/>
      </c>
    </row>
    <row r="124" spans="1:23" s="164" customFormat="1">
      <c r="A124" s="171">
        <f t="shared" ref="A124:A143" si="8">A123+1</f>
        <v>41</v>
      </c>
      <c r="B124" s="197"/>
      <c r="C124" s="198"/>
      <c r="D124" s="199"/>
      <c r="E124" s="246"/>
      <c r="F124" s="247"/>
      <c r="G124" s="248"/>
      <c r="H124" s="200"/>
      <c r="I124" s="200"/>
      <c r="J124" s="249"/>
      <c r="K124" s="250"/>
      <c r="L124" s="251"/>
      <c r="M124" s="172" t="str">
        <f t="shared" ref="M124:M133" si="9">IF(J124="","",V124*J124)</f>
        <v/>
      </c>
      <c r="N124" s="203"/>
      <c r="O124" s="197"/>
      <c r="P124" s="206"/>
      <c r="Q124" s="173" t="str">
        <f t="shared" ref="Q124:Q133" si="10">IF(P124="","",W124*P124/100)</f>
        <v/>
      </c>
      <c r="R124" s="69"/>
      <c r="S124" s="210"/>
      <c r="T124" s="209"/>
      <c r="V124" s="175">
        <f t="shared" ref="V124:V133" si="11">IF(C124="",V123,C124)</f>
        <v>0</v>
      </c>
      <c r="W124" s="175" t="str">
        <f t="shared" ref="W124:W133" si="12">IF(M124="",W123,M124)</f>
        <v/>
      </c>
    </row>
    <row r="125" spans="1:23" s="164" customFormat="1">
      <c r="A125" s="171">
        <f t="shared" si="8"/>
        <v>42</v>
      </c>
      <c r="B125" s="197"/>
      <c r="C125" s="198"/>
      <c r="D125" s="199"/>
      <c r="E125" s="246"/>
      <c r="F125" s="247"/>
      <c r="G125" s="248"/>
      <c r="H125" s="200"/>
      <c r="I125" s="200"/>
      <c r="J125" s="249"/>
      <c r="K125" s="250"/>
      <c r="L125" s="251"/>
      <c r="M125" s="172" t="str">
        <f t="shared" si="9"/>
        <v/>
      </c>
      <c r="N125" s="203"/>
      <c r="O125" s="197"/>
      <c r="P125" s="202"/>
      <c r="Q125" s="173" t="str">
        <f t="shared" si="10"/>
        <v/>
      </c>
      <c r="R125" s="69"/>
      <c r="S125" s="208"/>
      <c r="T125" s="209"/>
      <c r="V125" s="175">
        <f t="shared" si="11"/>
        <v>0</v>
      </c>
      <c r="W125" s="175" t="str">
        <f t="shared" si="12"/>
        <v/>
      </c>
    </row>
    <row r="126" spans="1:23" s="164" customFormat="1">
      <c r="A126" s="171">
        <f t="shared" si="8"/>
        <v>43</v>
      </c>
      <c r="B126" s="197"/>
      <c r="C126" s="198"/>
      <c r="D126" s="199"/>
      <c r="E126" s="246"/>
      <c r="F126" s="247"/>
      <c r="G126" s="248"/>
      <c r="H126" s="200"/>
      <c r="I126" s="200"/>
      <c r="J126" s="249"/>
      <c r="K126" s="250"/>
      <c r="L126" s="251"/>
      <c r="M126" s="172" t="str">
        <f t="shared" si="9"/>
        <v/>
      </c>
      <c r="N126" s="203"/>
      <c r="O126" s="197"/>
      <c r="P126" s="202"/>
      <c r="Q126" s="173" t="str">
        <f t="shared" si="10"/>
        <v/>
      </c>
      <c r="R126" s="69"/>
      <c r="S126" s="208"/>
      <c r="T126" s="209"/>
      <c r="V126" s="175">
        <f t="shared" si="11"/>
        <v>0</v>
      </c>
      <c r="W126" s="175" t="str">
        <f t="shared" si="12"/>
        <v/>
      </c>
    </row>
    <row r="127" spans="1:23" s="164" customFormat="1">
      <c r="A127" s="171">
        <f t="shared" si="8"/>
        <v>44</v>
      </c>
      <c r="B127" s="197"/>
      <c r="C127" s="198"/>
      <c r="D127" s="199"/>
      <c r="E127" s="246"/>
      <c r="F127" s="247"/>
      <c r="G127" s="248"/>
      <c r="H127" s="200"/>
      <c r="I127" s="200"/>
      <c r="J127" s="249"/>
      <c r="K127" s="250"/>
      <c r="L127" s="251"/>
      <c r="M127" s="172" t="str">
        <f t="shared" si="9"/>
        <v/>
      </c>
      <c r="N127" s="203"/>
      <c r="O127" s="197"/>
      <c r="P127" s="202"/>
      <c r="Q127" s="173" t="str">
        <f t="shared" si="10"/>
        <v/>
      </c>
      <c r="R127" s="69"/>
      <c r="S127" s="208"/>
      <c r="T127" s="209"/>
      <c r="V127" s="175">
        <f t="shared" si="11"/>
        <v>0</v>
      </c>
      <c r="W127" s="175" t="str">
        <f t="shared" si="12"/>
        <v/>
      </c>
    </row>
    <row r="128" spans="1:23" s="164" customFormat="1">
      <c r="A128" s="171">
        <f t="shared" si="8"/>
        <v>45</v>
      </c>
      <c r="B128" s="197"/>
      <c r="C128" s="198"/>
      <c r="D128" s="199"/>
      <c r="E128" s="246"/>
      <c r="F128" s="247"/>
      <c r="G128" s="248"/>
      <c r="H128" s="200"/>
      <c r="I128" s="200"/>
      <c r="J128" s="252"/>
      <c r="K128" s="253"/>
      <c r="L128" s="251"/>
      <c r="M128" s="172" t="str">
        <f t="shared" si="9"/>
        <v/>
      </c>
      <c r="N128" s="203"/>
      <c r="O128" s="197"/>
      <c r="P128" s="202"/>
      <c r="Q128" s="173" t="str">
        <f t="shared" si="10"/>
        <v/>
      </c>
      <c r="R128" s="69"/>
      <c r="S128" s="208"/>
      <c r="T128" s="209"/>
      <c r="V128" s="175">
        <f t="shared" si="11"/>
        <v>0</v>
      </c>
      <c r="W128" s="175" t="str">
        <f t="shared" si="12"/>
        <v/>
      </c>
    </row>
    <row r="129" spans="1:23" s="164" customFormat="1">
      <c r="A129" s="171">
        <f t="shared" si="8"/>
        <v>46</v>
      </c>
      <c r="B129" s="197"/>
      <c r="C129" s="198"/>
      <c r="D129" s="199"/>
      <c r="E129" s="246"/>
      <c r="F129" s="247"/>
      <c r="G129" s="248"/>
      <c r="H129" s="200"/>
      <c r="I129" s="200"/>
      <c r="J129" s="249"/>
      <c r="K129" s="250"/>
      <c r="L129" s="251"/>
      <c r="M129" s="172" t="str">
        <f t="shared" si="9"/>
        <v/>
      </c>
      <c r="N129" s="203"/>
      <c r="O129" s="197"/>
      <c r="P129" s="202"/>
      <c r="Q129" s="173" t="str">
        <f t="shared" si="10"/>
        <v/>
      </c>
      <c r="R129" s="69"/>
      <c r="S129" s="208"/>
      <c r="T129" s="212"/>
      <c r="V129" s="175">
        <f t="shared" si="11"/>
        <v>0</v>
      </c>
      <c r="W129" s="175" t="str">
        <f t="shared" si="12"/>
        <v/>
      </c>
    </row>
    <row r="130" spans="1:23" s="164" customFormat="1">
      <c r="A130" s="171">
        <f t="shared" si="8"/>
        <v>47</v>
      </c>
      <c r="B130" s="197"/>
      <c r="C130" s="198"/>
      <c r="D130" s="199"/>
      <c r="E130" s="246"/>
      <c r="F130" s="247"/>
      <c r="G130" s="248"/>
      <c r="H130" s="200"/>
      <c r="I130" s="200"/>
      <c r="J130" s="249"/>
      <c r="K130" s="250"/>
      <c r="L130" s="251"/>
      <c r="M130" s="172" t="str">
        <f t="shared" si="9"/>
        <v/>
      </c>
      <c r="N130" s="203"/>
      <c r="O130" s="197"/>
      <c r="P130" s="202"/>
      <c r="Q130" s="173" t="str">
        <f t="shared" si="10"/>
        <v/>
      </c>
      <c r="R130" s="69"/>
      <c r="S130" s="208"/>
      <c r="T130" s="209"/>
      <c r="V130" s="175">
        <f t="shared" si="11"/>
        <v>0</v>
      </c>
      <c r="W130" s="175" t="str">
        <f t="shared" si="12"/>
        <v/>
      </c>
    </row>
    <row r="131" spans="1:23" s="164" customFormat="1">
      <c r="A131" s="171">
        <f t="shared" si="8"/>
        <v>48</v>
      </c>
      <c r="B131" s="197"/>
      <c r="C131" s="198"/>
      <c r="D131" s="199"/>
      <c r="E131" s="246"/>
      <c r="F131" s="247"/>
      <c r="G131" s="248"/>
      <c r="H131" s="200"/>
      <c r="I131" s="200"/>
      <c r="J131" s="252"/>
      <c r="K131" s="253"/>
      <c r="L131" s="251"/>
      <c r="M131" s="172" t="str">
        <f t="shared" si="9"/>
        <v/>
      </c>
      <c r="N131" s="203"/>
      <c r="O131" s="197"/>
      <c r="P131" s="202"/>
      <c r="Q131" s="173" t="str">
        <f t="shared" si="10"/>
        <v/>
      </c>
      <c r="R131" s="69"/>
      <c r="S131" s="208"/>
      <c r="T131" s="212"/>
      <c r="V131" s="175">
        <f t="shared" si="11"/>
        <v>0</v>
      </c>
      <c r="W131" s="175" t="str">
        <f t="shared" si="12"/>
        <v/>
      </c>
    </row>
    <row r="132" spans="1:23" s="164" customFormat="1">
      <c r="A132" s="171">
        <f t="shared" si="8"/>
        <v>49</v>
      </c>
      <c r="B132" s="197"/>
      <c r="C132" s="198"/>
      <c r="D132" s="199"/>
      <c r="E132" s="246"/>
      <c r="F132" s="247"/>
      <c r="G132" s="248"/>
      <c r="H132" s="200"/>
      <c r="I132" s="200"/>
      <c r="J132" s="249"/>
      <c r="K132" s="250"/>
      <c r="L132" s="251"/>
      <c r="M132" s="172" t="str">
        <f t="shared" si="9"/>
        <v/>
      </c>
      <c r="N132" s="203"/>
      <c r="O132" s="197"/>
      <c r="P132" s="202"/>
      <c r="Q132" s="173" t="str">
        <f t="shared" si="10"/>
        <v/>
      </c>
      <c r="R132" s="69"/>
      <c r="S132" s="208"/>
      <c r="T132" s="212"/>
      <c r="V132" s="175">
        <f t="shared" si="11"/>
        <v>0</v>
      </c>
      <c r="W132" s="175" t="str">
        <f t="shared" si="12"/>
        <v/>
      </c>
    </row>
    <row r="133" spans="1:23" s="164" customFormat="1">
      <c r="A133" s="171">
        <f t="shared" si="8"/>
        <v>50</v>
      </c>
      <c r="B133" s="197"/>
      <c r="C133" s="198"/>
      <c r="D133" s="199"/>
      <c r="E133" s="246"/>
      <c r="F133" s="247"/>
      <c r="G133" s="248"/>
      <c r="H133" s="200"/>
      <c r="I133" s="200"/>
      <c r="J133" s="249"/>
      <c r="K133" s="250"/>
      <c r="L133" s="251"/>
      <c r="M133" s="172" t="str">
        <f t="shared" si="9"/>
        <v/>
      </c>
      <c r="N133" s="207"/>
      <c r="O133" s="197"/>
      <c r="P133" s="202"/>
      <c r="Q133" s="173" t="str">
        <f t="shared" si="10"/>
        <v/>
      </c>
      <c r="R133" s="69"/>
      <c r="S133" s="208"/>
      <c r="T133" s="212"/>
      <c r="V133" s="175">
        <f t="shared" si="11"/>
        <v>0</v>
      </c>
      <c r="W133" s="175" t="str">
        <f t="shared" si="12"/>
        <v/>
      </c>
    </row>
    <row r="134" spans="1:23" s="164" customFormat="1">
      <c r="A134" s="171">
        <f t="shared" si="8"/>
        <v>51</v>
      </c>
      <c r="B134" s="197"/>
      <c r="C134" s="198"/>
      <c r="D134" s="199"/>
      <c r="E134" s="246"/>
      <c r="F134" s="247"/>
      <c r="G134" s="248"/>
      <c r="H134" s="200"/>
      <c r="I134" s="200"/>
      <c r="J134" s="249"/>
      <c r="K134" s="250"/>
      <c r="L134" s="251"/>
      <c r="M134" s="172" t="str">
        <f t="shared" ref="M134:M143" si="13">IF(J134="","",V134*J134)</f>
        <v/>
      </c>
      <c r="N134" s="203"/>
      <c r="O134" s="197"/>
      <c r="P134" s="206"/>
      <c r="Q134" s="173" t="str">
        <f t="shared" ref="Q134:Q143" si="14">IF(P134="","",W134*P134/100)</f>
        <v/>
      </c>
      <c r="R134" s="69"/>
      <c r="S134" s="210"/>
      <c r="T134" s="209"/>
      <c r="V134" s="175">
        <f t="shared" ref="V134:V143" si="15">IF(C134="",V133,C134)</f>
        <v>0</v>
      </c>
      <c r="W134" s="175" t="str">
        <f t="shared" ref="W134:W143" si="16">IF(M134="",W133,M134)</f>
        <v/>
      </c>
    </row>
    <row r="135" spans="1:23" s="164" customFormat="1">
      <c r="A135" s="171">
        <f t="shared" si="8"/>
        <v>52</v>
      </c>
      <c r="B135" s="197"/>
      <c r="C135" s="198"/>
      <c r="D135" s="199"/>
      <c r="E135" s="246"/>
      <c r="F135" s="247"/>
      <c r="G135" s="248"/>
      <c r="H135" s="200"/>
      <c r="I135" s="200"/>
      <c r="J135" s="249"/>
      <c r="K135" s="250"/>
      <c r="L135" s="251"/>
      <c r="M135" s="172" t="str">
        <f t="shared" si="13"/>
        <v/>
      </c>
      <c r="N135" s="203"/>
      <c r="O135" s="197"/>
      <c r="P135" s="202"/>
      <c r="Q135" s="173" t="str">
        <f t="shared" si="14"/>
        <v/>
      </c>
      <c r="R135" s="69"/>
      <c r="S135" s="208"/>
      <c r="T135" s="209"/>
      <c r="V135" s="175">
        <f t="shared" si="15"/>
        <v>0</v>
      </c>
      <c r="W135" s="175" t="str">
        <f t="shared" si="16"/>
        <v/>
      </c>
    </row>
    <row r="136" spans="1:23" s="164" customFormat="1">
      <c r="A136" s="171">
        <f t="shared" si="8"/>
        <v>53</v>
      </c>
      <c r="B136" s="197"/>
      <c r="C136" s="198"/>
      <c r="D136" s="199"/>
      <c r="E136" s="246"/>
      <c r="F136" s="247"/>
      <c r="G136" s="248"/>
      <c r="H136" s="200"/>
      <c r="I136" s="200"/>
      <c r="J136" s="249"/>
      <c r="K136" s="250"/>
      <c r="L136" s="251"/>
      <c r="M136" s="172" t="str">
        <f t="shared" si="13"/>
        <v/>
      </c>
      <c r="N136" s="203"/>
      <c r="O136" s="197"/>
      <c r="P136" s="202"/>
      <c r="Q136" s="173" t="str">
        <f t="shared" si="14"/>
        <v/>
      </c>
      <c r="R136" s="69"/>
      <c r="S136" s="208"/>
      <c r="T136" s="209"/>
      <c r="V136" s="175">
        <f t="shared" si="15"/>
        <v>0</v>
      </c>
      <c r="W136" s="175" t="str">
        <f t="shared" si="16"/>
        <v/>
      </c>
    </row>
    <row r="137" spans="1:23" s="164" customFormat="1">
      <c r="A137" s="171">
        <f t="shared" si="8"/>
        <v>54</v>
      </c>
      <c r="B137" s="197"/>
      <c r="C137" s="198"/>
      <c r="D137" s="199"/>
      <c r="E137" s="246"/>
      <c r="F137" s="247"/>
      <c r="G137" s="248"/>
      <c r="H137" s="200"/>
      <c r="I137" s="200"/>
      <c r="J137" s="249"/>
      <c r="K137" s="250"/>
      <c r="L137" s="251"/>
      <c r="M137" s="172" t="str">
        <f t="shared" si="13"/>
        <v/>
      </c>
      <c r="N137" s="203"/>
      <c r="O137" s="197"/>
      <c r="P137" s="202"/>
      <c r="Q137" s="173" t="str">
        <f t="shared" si="14"/>
        <v/>
      </c>
      <c r="R137" s="69"/>
      <c r="S137" s="208"/>
      <c r="T137" s="209"/>
      <c r="V137" s="175">
        <f t="shared" si="15"/>
        <v>0</v>
      </c>
      <c r="W137" s="175" t="str">
        <f t="shared" si="16"/>
        <v/>
      </c>
    </row>
    <row r="138" spans="1:23" s="164" customFormat="1">
      <c r="A138" s="171">
        <f t="shared" si="8"/>
        <v>55</v>
      </c>
      <c r="B138" s="197"/>
      <c r="C138" s="198"/>
      <c r="D138" s="199"/>
      <c r="E138" s="246"/>
      <c r="F138" s="247"/>
      <c r="G138" s="248"/>
      <c r="H138" s="200"/>
      <c r="I138" s="200"/>
      <c r="J138" s="252"/>
      <c r="K138" s="253"/>
      <c r="L138" s="251"/>
      <c r="M138" s="172" t="str">
        <f t="shared" si="13"/>
        <v/>
      </c>
      <c r="N138" s="203"/>
      <c r="O138" s="197"/>
      <c r="P138" s="202"/>
      <c r="Q138" s="173" t="str">
        <f t="shared" si="14"/>
        <v/>
      </c>
      <c r="R138" s="69"/>
      <c r="S138" s="208"/>
      <c r="T138" s="209"/>
      <c r="V138" s="175">
        <f t="shared" si="15"/>
        <v>0</v>
      </c>
      <c r="W138" s="175" t="str">
        <f t="shared" si="16"/>
        <v/>
      </c>
    </row>
    <row r="139" spans="1:23" s="164" customFormat="1">
      <c r="A139" s="171">
        <f t="shared" si="8"/>
        <v>56</v>
      </c>
      <c r="B139" s="197"/>
      <c r="C139" s="198"/>
      <c r="D139" s="199"/>
      <c r="E139" s="246"/>
      <c r="F139" s="247"/>
      <c r="G139" s="248"/>
      <c r="H139" s="200"/>
      <c r="I139" s="200"/>
      <c r="J139" s="249"/>
      <c r="K139" s="250"/>
      <c r="L139" s="251"/>
      <c r="M139" s="172" t="str">
        <f t="shared" si="13"/>
        <v/>
      </c>
      <c r="N139" s="203"/>
      <c r="O139" s="197"/>
      <c r="P139" s="202"/>
      <c r="Q139" s="173" t="str">
        <f t="shared" si="14"/>
        <v/>
      </c>
      <c r="R139" s="69"/>
      <c r="S139" s="208"/>
      <c r="T139" s="212"/>
      <c r="V139" s="175">
        <f t="shared" si="15"/>
        <v>0</v>
      </c>
      <c r="W139" s="175" t="str">
        <f t="shared" si="16"/>
        <v/>
      </c>
    </row>
    <row r="140" spans="1:23" s="164" customFormat="1">
      <c r="A140" s="171">
        <f t="shared" si="8"/>
        <v>57</v>
      </c>
      <c r="B140" s="197"/>
      <c r="C140" s="198"/>
      <c r="D140" s="199"/>
      <c r="E140" s="246"/>
      <c r="F140" s="247"/>
      <c r="G140" s="248"/>
      <c r="H140" s="200"/>
      <c r="I140" s="200"/>
      <c r="J140" s="249"/>
      <c r="K140" s="250"/>
      <c r="L140" s="251"/>
      <c r="M140" s="172" t="str">
        <f t="shared" si="13"/>
        <v/>
      </c>
      <c r="N140" s="203"/>
      <c r="O140" s="197"/>
      <c r="P140" s="202"/>
      <c r="Q140" s="173" t="str">
        <f t="shared" si="14"/>
        <v/>
      </c>
      <c r="R140" s="69"/>
      <c r="S140" s="208"/>
      <c r="T140" s="209"/>
      <c r="V140" s="175">
        <f t="shared" si="15"/>
        <v>0</v>
      </c>
      <c r="W140" s="175" t="str">
        <f t="shared" si="16"/>
        <v/>
      </c>
    </row>
    <row r="141" spans="1:23" s="164" customFormat="1">
      <c r="A141" s="171">
        <f t="shared" si="8"/>
        <v>58</v>
      </c>
      <c r="B141" s="197"/>
      <c r="C141" s="198"/>
      <c r="D141" s="199"/>
      <c r="E141" s="246"/>
      <c r="F141" s="247"/>
      <c r="G141" s="248"/>
      <c r="H141" s="200"/>
      <c r="I141" s="200"/>
      <c r="J141" s="252"/>
      <c r="K141" s="253"/>
      <c r="L141" s="251"/>
      <c r="M141" s="172" t="str">
        <f t="shared" si="13"/>
        <v/>
      </c>
      <c r="N141" s="203"/>
      <c r="O141" s="197"/>
      <c r="P141" s="202"/>
      <c r="Q141" s="173" t="str">
        <f t="shared" si="14"/>
        <v/>
      </c>
      <c r="R141" s="69"/>
      <c r="S141" s="208"/>
      <c r="T141" s="212"/>
      <c r="V141" s="175">
        <f t="shared" si="15"/>
        <v>0</v>
      </c>
      <c r="W141" s="175" t="str">
        <f t="shared" si="16"/>
        <v/>
      </c>
    </row>
    <row r="142" spans="1:23" s="164" customFormat="1">
      <c r="A142" s="171">
        <f t="shared" si="8"/>
        <v>59</v>
      </c>
      <c r="B142" s="197"/>
      <c r="C142" s="198"/>
      <c r="D142" s="199"/>
      <c r="E142" s="246"/>
      <c r="F142" s="247"/>
      <c r="G142" s="248"/>
      <c r="H142" s="200"/>
      <c r="I142" s="200"/>
      <c r="J142" s="249"/>
      <c r="K142" s="250"/>
      <c r="L142" s="251"/>
      <c r="M142" s="172" t="str">
        <f t="shared" si="13"/>
        <v/>
      </c>
      <c r="N142" s="203"/>
      <c r="O142" s="197"/>
      <c r="P142" s="202"/>
      <c r="Q142" s="173" t="str">
        <f t="shared" si="14"/>
        <v/>
      </c>
      <c r="R142" s="69"/>
      <c r="S142" s="208"/>
      <c r="T142" s="212"/>
      <c r="V142" s="175">
        <f t="shared" si="15"/>
        <v>0</v>
      </c>
      <c r="W142" s="175" t="str">
        <f t="shared" si="16"/>
        <v/>
      </c>
    </row>
    <row r="143" spans="1:23" s="164" customFormat="1">
      <c r="A143" s="171">
        <f t="shared" si="8"/>
        <v>60</v>
      </c>
      <c r="B143" s="197"/>
      <c r="C143" s="198"/>
      <c r="D143" s="199"/>
      <c r="E143" s="246"/>
      <c r="F143" s="247"/>
      <c r="G143" s="248"/>
      <c r="H143" s="200"/>
      <c r="I143" s="200"/>
      <c r="J143" s="249"/>
      <c r="K143" s="250"/>
      <c r="L143" s="251"/>
      <c r="M143" s="172" t="str">
        <f t="shared" si="13"/>
        <v/>
      </c>
      <c r="N143" s="207"/>
      <c r="O143" s="197"/>
      <c r="P143" s="202"/>
      <c r="Q143" s="173" t="str">
        <f t="shared" si="14"/>
        <v/>
      </c>
      <c r="R143" s="69"/>
      <c r="S143" s="208"/>
      <c r="T143" s="212"/>
      <c r="V143" s="175">
        <f t="shared" si="15"/>
        <v>0</v>
      </c>
      <c r="W143" s="175" t="str">
        <f t="shared" si="16"/>
        <v/>
      </c>
    </row>
    <row r="144" spans="1:23" s="164" customFormat="1" ht="28.5" customHeight="1">
      <c r="B144" s="176"/>
      <c r="C144" s="176"/>
      <c r="D144" s="176"/>
      <c r="E144" s="177"/>
      <c r="F144" s="177"/>
      <c r="G144" s="177"/>
      <c r="H144" s="177"/>
      <c r="I144" s="177"/>
      <c r="J144" s="235" t="str">
        <f>IF(B3="English","Total region mas",IF(B3="中国語","総部位的
质量合计","総部位
質量合計"))</f>
        <v>総部位
質量合計</v>
      </c>
      <c r="K144" s="236"/>
      <c r="L144" s="237"/>
      <c r="M144" s="238">
        <f>SUM(M80:M143)</f>
        <v>0</v>
      </c>
      <c r="N144" s="240"/>
      <c r="O144" s="241"/>
      <c r="P144" s="178" t="str">
        <f>IF(B3="English","Total mass",IF(B3="中国語","总质量","物質質量
合計"))</f>
        <v>物質質量
合計</v>
      </c>
      <c r="Q144" s="238">
        <f>SUM(Q80:Q143)</f>
        <v>0</v>
      </c>
      <c r="R144" s="240"/>
      <c r="S144" s="242"/>
      <c r="T144" s="242"/>
    </row>
    <row r="145" spans="1:20" ht="17.25" customHeight="1">
      <c r="B145" s="179"/>
      <c r="D145" s="180"/>
      <c r="E145" s="180"/>
      <c r="F145" s="180"/>
      <c r="G145" s="180"/>
      <c r="H145" s="181"/>
      <c r="I145" s="182"/>
      <c r="J145" s="243" t="str">
        <f>E22</f>
        <v>g</v>
      </c>
      <c r="K145" s="244"/>
      <c r="L145" s="245"/>
      <c r="M145" s="239"/>
      <c r="N145" s="183"/>
      <c r="O145" s="180"/>
      <c r="P145" s="184" t="str">
        <f>E22</f>
        <v>g</v>
      </c>
      <c r="Q145" s="239"/>
      <c r="R145" s="122"/>
      <c r="S145" s="185"/>
    </row>
    <row r="146" spans="1:20" ht="17.25" customHeight="1">
      <c r="I146" s="183"/>
      <c r="J146" s="183"/>
      <c r="K146" s="183"/>
      <c r="L146" s="183"/>
      <c r="M146" s="183"/>
      <c r="N146" s="186"/>
      <c r="O146" s="183"/>
      <c r="P146" s="140"/>
      <c r="Q146" s="140"/>
      <c r="R146" s="137"/>
      <c r="S146" s="233" t="s">
        <v>63</v>
      </c>
      <c r="T146" s="234"/>
    </row>
    <row r="147" spans="1:20" ht="20.100000000000001" customHeight="1">
      <c r="I147" s="183"/>
      <c r="J147" s="183"/>
      <c r="K147" s="183"/>
      <c r="L147" s="183"/>
      <c r="M147" s="183"/>
      <c r="N147" s="186"/>
      <c r="O147" s="183"/>
      <c r="P147" s="140"/>
      <c r="Q147" s="140"/>
      <c r="R147" s="185"/>
      <c r="S147" s="187"/>
    </row>
    <row r="148" spans="1:20" ht="16.2" customHeight="1">
      <c r="A148" s="188"/>
      <c r="B148" s="189"/>
      <c r="C148" s="190"/>
      <c r="D148" s="190"/>
      <c r="E148" s="138"/>
      <c r="F148" s="138"/>
      <c r="G148" s="138"/>
      <c r="H148" s="138"/>
      <c r="O148" s="117"/>
    </row>
    <row r="149" spans="1:20" ht="16.2" customHeight="1">
      <c r="A149" s="191"/>
      <c r="B149" s="179"/>
      <c r="D149" s="190"/>
      <c r="E149" s="192"/>
      <c r="F149" s="192"/>
      <c r="G149" s="192"/>
      <c r="H149" s="192"/>
      <c r="O149" s="117"/>
    </row>
    <row r="150" spans="1:20" ht="16.2" customHeight="1">
      <c r="A150" s="193"/>
      <c r="D150" s="133"/>
      <c r="E150" s="133"/>
      <c r="F150" s="133"/>
      <c r="G150" s="133"/>
      <c r="H150" s="133"/>
      <c r="I150" s="189"/>
      <c r="J150" s="189"/>
      <c r="K150" s="189"/>
      <c r="L150" s="189"/>
      <c r="M150" s="189"/>
      <c r="O150" s="117"/>
    </row>
    <row r="151" spans="1:20" ht="16.2" customHeight="1">
      <c r="A151" s="188"/>
      <c r="O151" s="117"/>
      <c r="S151" s="186"/>
    </row>
    <row r="152" spans="1:20" ht="16.2" customHeight="1">
      <c r="A152" s="188"/>
      <c r="B152" s="194"/>
      <c r="S152" s="195"/>
      <c r="T152" s="195"/>
    </row>
    <row r="153" spans="1:20">
      <c r="A153" s="188"/>
      <c r="B153" s="194"/>
      <c r="S153" s="186"/>
    </row>
    <row r="154" spans="1:20">
      <c r="A154" s="188"/>
      <c r="B154" s="194"/>
    </row>
    <row r="155" spans="1:20">
      <c r="B155" s="194"/>
    </row>
  </sheetData>
  <sheetProtection sheet="1" objects="1" scenarios="1"/>
  <mergeCells count="179">
    <mergeCell ref="E143:G143"/>
    <mergeCell ref="J143:L143"/>
    <mergeCell ref="E138:G138"/>
    <mergeCell ref="J138:L138"/>
    <mergeCell ref="E139:G139"/>
    <mergeCell ref="J139:L139"/>
    <mergeCell ref="E140:G140"/>
    <mergeCell ref="J140:L140"/>
    <mergeCell ref="E141:G141"/>
    <mergeCell ref="J141:L141"/>
    <mergeCell ref="E142:G142"/>
    <mergeCell ref="J142:L142"/>
    <mergeCell ref="B102:M102"/>
    <mergeCell ref="S101:T101"/>
    <mergeCell ref="E134:G134"/>
    <mergeCell ref="J134:L134"/>
    <mergeCell ref="E135:G135"/>
    <mergeCell ref="J135:L135"/>
    <mergeCell ref="E136:G136"/>
    <mergeCell ref="J136:L136"/>
    <mergeCell ref="E137:G137"/>
    <mergeCell ref="J137:L137"/>
    <mergeCell ref="E131:G131"/>
    <mergeCell ref="J131:L131"/>
    <mergeCell ref="E132:G132"/>
    <mergeCell ref="J132:L132"/>
    <mergeCell ref="E133:G133"/>
    <mergeCell ref="J133:L133"/>
    <mergeCell ref="J126:L126"/>
    <mergeCell ref="E127:G127"/>
    <mergeCell ref="J127:L127"/>
    <mergeCell ref="E128:G128"/>
    <mergeCell ref="J128:L128"/>
    <mergeCell ref="E129:G129"/>
    <mergeCell ref="J129:L129"/>
    <mergeCell ref="E130:G130"/>
    <mergeCell ref="J130:L130"/>
    <mergeCell ref="B3:J3"/>
    <mergeCell ref="B5:M5"/>
    <mergeCell ref="O6:Q6"/>
    <mergeCell ref="O7:Q7"/>
    <mergeCell ref="B8:H8"/>
    <mergeCell ref="O8:Q8"/>
    <mergeCell ref="E124:G124"/>
    <mergeCell ref="J124:L124"/>
    <mergeCell ref="E125:G125"/>
    <mergeCell ref="J125:L125"/>
    <mergeCell ref="B13:C13"/>
    <mergeCell ref="D13:H13"/>
    <mergeCell ref="I13:M13"/>
    <mergeCell ref="N13:Q13"/>
    <mergeCell ref="B14:C14"/>
    <mergeCell ref="D14:H14"/>
    <mergeCell ref="I14:M14"/>
    <mergeCell ref="N14:Q14"/>
    <mergeCell ref="B9:H9"/>
    <mergeCell ref="O9:Q9"/>
    <mergeCell ref="B12:C12"/>
    <mergeCell ref="D12:H12"/>
    <mergeCell ref="I12:M12"/>
    <mergeCell ref="N12:Q12"/>
    <mergeCell ref="N19:Q19"/>
    <mergeCell ref="B20:C20"/>
    <mergeCell ref="D20:H20"/>
    <mergeCell ref="I20:M20"/>
    <mergeCell ref="N20:Q20"/>
    <mergeCell ref="B15:C15"/>
    <mergeCell ref="D15:H15"/>
    <mergeCell ref="I15:M15"/>
    <mergeCell ref="N15:Q15"/>
    <mergeCell ref="B18:C18"/>
    <mergeCell ref="D18:H18"/>
    <mergeCell ref="I18:M18"/>
    <mergeCell ref="N18:Q18"/>
    <mergeCell ref="B22:C22"/>
    <mergeCell ref="A78:A79"/>
    <mergeCell ref="B78:B79"/>
    <mergeCell ref="D78:D79"/>
    <mergeCell ref="E78:G79"/>
    <mergeCell ref="H78:H79"/>
    <mergeCell ref="B19:C19"/>
    <mergeCell ref="D19:H19"/>
    <mergeCell ref="I19:M19"/>
    <mergeCell ref="S78:S79"/>
    <mergeCell ref="T78:T79"/>
    <mergeCell ref="E80:G80"/>
    <mergeCell ref="J80:L80"/>
    <mergeCell ref="E81:G81"/>
    <mergeCell ref="J81:L81"/>
    <mergeCell ref="I78:I79"/>
    <mergeCell ref="J78:L78"/>
    <mergeCell ref="N78:N79"/>
    <mergeCell ref="O78:O79"/>
    <mergeCell ref="P78:P79"/>
    <mergeCell ref="R78:R79"/>
    <mergeCell ref="E85:G85"/>
    <mergeCell ref="J85:L85"/>
    <mergeCell ref="E86:G86"/>
    <mergeCell ref="J86:L86"/>
    <mergeCell ref="E87:G87"/>
    <mergeCell ref="J87:L87"/>
    <mergeCell ref="E82:G82"/>
    <mergeCell ref="J82:L82"/>
    <mergeCell ref="E83:G83"/>
    <mergeCell ref="J83:L83"/>
    <mergeCell ref="E84:G84"/>
    <mergeCell ref="J84:L84"/>
    <mergeCell ref="E91:G91"/>
    <mergeCell ref="J91:L91"/>
    <mergeCell ref="E92:G92"/>
    <mergeCell ref="J92:L92"/>
    <mergeCell ref="E93:G93"/>
    <mergeCell ref="J93:L93"/>
    <mergeCell ref="E88:G88"/>
    <mergeCell ref="J88:L88"/>
    <mergeCell ref="E89:G89"/>
    <mergeCell ref="J89:L89"/>
    <mergeCell ref="E90:G90"/>
    <mergeCell ref="J90:L90"/>
    <mergeCell ref="E97:G97"/>
    <mergeCell ref="J97:L97"/>
    <mergeCell ref="E98:G98"/>
    <mergeCell ref="J98:L98"/>
    <mergeCell ref="E99:G99"/>
    <mergeCell ref="J99:L99"/>
    <mergeCell ref="E94:G94"/>
    <mergeCell ref="J94:L94"/>
    <mergeCell ref="E95:G95"/>
    <mergeCell ref="J95:L95"/>
    <mergeCell ref="E96:G96"/>
    <mergeCell ref="J96:L96"/>
    <mergeCell ref="J108:L108"/>
    <mergeCell ref="E109:G109"/>
    <mergeCell ref="J109:L109"/>
    <mergeCell ref="E110:G110"/>
    <mergeCell ref="J110:L110"/>
    <mergeCell ref="E111:G111"/>
    <mergeCell ref="J111:L111"/>
    <mergeCell ref="S146:T146"/>
    <mergeCell ref="E104:G104"/>
    <mergeCell ref="J104:L104"/>
    <mergeCell ref="E105:G105"/>
    <mergeCell ref="J105:L105"/>
    <mergeCell ref="E106:G106"/>
    <mergeCell ref="J106:L106"/>
    <mergeCell ref="E107:G107"/>
    <mergeCell ref="J107:L107"/>
    <mergeCell ref="E108:G108"/>
    <mergeCell ref="J144:L144"/>
    <mergeCell ref="M144:M145"/>
    <mergeCell ref="N144:O144"/>
    <mergeCell ref="Q144:Q145"/>
    <mergeCell ref="R144:T144"/>
    <mergeCell ref="J145:L145"/>
    <mergeCell ref="E126:G126"/>
    <mergeCell ref="E115:G115"/>
    <mergeCell ref="J115:L115"/>
    <mergeCell ref="E116:G116"/>
    <mergeCell ref="J116:L116"/>
    <mergeCell ref="E117:G117"/>
    <mergeCell ref="J117:L117"/>
    <mergeCell ref="E112:G112"/>
    <mergeCell ref="J112:L112"/>
    <mergeCell ref="E113:G113"/>
    <mergeCell ref="J113:L113"/>
    <mergeCell ref="E114:G114"/>
    <mergeCell ref="J114:L114"/>
    <mergeCell ref="E121:G121"/>
    <mergeCell ref="J121:L121"/>
    <mergeCell ref="E122:G122"/>
    <mergeCell ref="J122:L122"/>
    <mergeCell ref="E123:G123"/>
    <mergeCell ref="J123:L123"/>
    <mergeCell ref="E118:G118"/>
    <mergeCell ref="J118:L118"/>
    <mergeCell ref="E119:G119"/>
    <mergeCell ref="J119:L119"/>
    <mergeCell ref="E120:G120"/>
    <mergeCell ref="J120:L120"/>
  </mergeCells>
  <phoneticPr fontId="2"/>
  <conditionalFormatting sqref="J68:L68 O68">
    <cfRule type="expression" dxfId="3" priority="1" stopIfTrue="1">
      <formula>$A$12&lt;&gt;""</formula>
    </cfRule>
  </conditionalFormatting>
  <dataValidations count="10">
    <dataValidation type="list" allowBlank="1" showInputMessage="1" showErrorMessage="1" promptTitle="=Weight/1pcs" prompt="(Weight of one product)_x000a__x000a_*** mg/pcs_x000a_*** mg/m_x000a_*** mg/m2_x000a_*** g/pcs_x000a_*** g/m_x000a_*** g/m2" sqref="E22">
      <formula1>"mg,g"</formula1>
    </dataValidation>
    <dataValidation type="list" allowBlank="1" showInputMessage="1" sqref="R80:R99 R104:R143">
      <formula1>$B$25:$B$70</formula1>
    </dataValidation>
    <dataValidation type="list" allowBlank="1" showInputMessage="1" sqref="E80:G99 E104:G143">
      <formula1>INDIRECT(D80)</formula1>
    </dataValidation>
    <dataValidation type="list" allowBlank="1" showInputMessage="1" sqref="D80:D99 D104:D143">
      <formula1>$M$25:$X$25</formula1>
    </dataValidation>
    <dataValidation type="list" allowBlank="1" showInputMessage="1" showErrorMessage="1" promptTitle="=Weight/1pcs" prompt="(Weight of one product)_x000a__x000a_*** mg/pcs_x000a_*** mg/m_x000a_*** mg/m2_x000a_*** g/pcs_x000a_*** g/m_x000a_*** g/m2" sqref="G22">
      <formula1>"pcs,m,m2,"</formula1>
    </dataValidation>
    <dataValidation type="list" allowBlank="1" showInputMessage="1" showErrorMessage="1" promptTitle="=Weight/1pcs" prompt="(Weight of one prosuct)_x000a__x000a_*** mg/pcs_x000a_*** mg/m_x000a_*** mg/m2_x000a_*** g/pcs_x000a_*** g/m_x000a_*** g/m2" sqref="L79 J79">
      <formula1>"mg,g"</formula1>
    </dataValidation>
    <dataValidation type="list" allowBlank="1" showInputMessage="1" showErrorMessage="1" sqref="B3:J3 K3:K4 L4">
      <formula1>$W$5:$W$7</formula1>
    </dataValidation>
    <dataValidation imeMode="off" allowBlank="1" showInputMessage="1" showErrorMessage="1" sqref="M104:M143 A104:A143 O104:Q143 S104:S143 N18:Q20 N12:Q13 D12:H12 D22 D18:H20 M80:M99 I80:K99 S80:S99 O80:Q99 A80:A99 I104:K143"/>
    <dataValidation type="list" allowBlank="1" showInputMessage="1" showErrorMessage="1" sqref="M4">
      <formula1>$W$3:$W$7</formula1>
    </dataValidation>
    <dataValidation type="list" allowBlank="1" showInputMessage="1" sqref="T80:T99">
      <formula1>$D$25:$D$26</formula1>
    </dataValidation>
  </dataValidations>
  <pageMargins left="0.27559055118110237" right="0.19685039370078741" top="0.39370078740157483" bottom="0.19685039370078741" header="0.31496062992125984" footer="0.19685039370078741"/>
  <pageSetup paperSize="9" scale="76" fitToHeight="0" orientation="landscape" r:id="rId1"/>
  <headerFooter alignWithMargins="0">
    <oddFooter>&amp;CMiinebeaMitsumi Inc.</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C109"/>
  <sheetViews>
    <sheetView showGridLines="0" zoomScale="70" zoomScaleNormal="70" workbookViewId="0">
      <selection activeCell="X1" sqref="X1"/>
    </sheetView>
  </sheetViews>
  <sheetFormatPr defaultColWidth="9" defaultRowHeight="15.6"/>
  <cols>
    <col min="1" max="1" width="3.109375" style="46" customWidth="1"/>
    <col min="2" max="2" width="15.6640625" style="46" customWidth="1"/>
    <col min="3" max="3" width="8.6640625" style="46" customWidth="1"/>
    <col min="4" max="4" width="14.6640625" style="46" customWidth="1"/>
    <col min="5" max="5" width="8.6640625" style="46" customWidth="1"/>
    <col min="6" max="6" width="0.88671875" style="46" customWidth="1"/>
    <col min="7" max="7" width="8.6640625" style="46" customWidth="1"/>
    <col min="8" max="9" width="12.6640625" style="46" customWidth="1"/>
    <col min="10" max="10" width="3.6640625" style="46" customWidth="1"/>
    <col min="11" max="11" width="0.88671875" style="46" customWidth="1"/>
    <col min="12" max="12" width="4.109375" style="46" customWidth="1"/>
    <col min="13" max="13" width="8.6640625" style="46" customWidth="1"/>
    <col min="14" max="14" width="22.44140625" style="46" customWidth="1"/>
    <col min="15" max="17" width="8.6640625" style="46" customWidth="1"/>
    <col min="18" max="18" width="11.88671875" style="46" customWidth="1"/>
    <col min="19" max="20" width="10.6640625" style="46" customWidth="1"/>
    <col min="21" max="21" width="8.6640625" style="46" customWidth="1"/>
    <col min="22" max="22" width="0" style="46" hidden="1" customWidth="1"/>
    <col min="23" max="23" width="9.6640625" style="46" hidden="1" customWidth="1"/>
    <col min="24" max="16384" width="9" style="46"/>
  </cols>
  <sheetData>
    <row r="3" spans="1:29" s="1" customFormat="1" ht="6.75" customHeight="1"/>
    <row r="4" spans="1:29" s="1" customFormat="1" ht="17.25" customHeight="1" thickBot="1">
      <c r="B4" s="1" t="s">
        <v>18</v>
      </c>
    </row>
    <row r="5" spans="1:29" s="1" customFormat="1" ht="16.2" thickBot="1">
      <c r="B5" s="384" t="s">
        <v>14</v>
      </c>
      <c r="C5" s="385"/>
      <c r="D5" s="385"/>
      <c r="E5" s="385"/>
      <c r="F5" s="385"/>
      <c r="G5" s="385"/>
      <c r="H5" s="385"/>
      <c r="I5" s="385"/>
      <c r="J5" s="386"/>
      <c r="K5" s="3"/>
      <c r="L5" s="3"/>
      <c r="M5" s="3"/>
      <c r="W5" s="1" t="s">
        <v>13</v>
      </c>
    </row>
    <row r="6" spans="1:29" s="1" customFormat="1" ht="7.5" customHeight="1">
      <c r="K6" s="3"/>
      <c r="L6" s="3"/>
      <c r="M6" s="3"/>
    </row>
    <row r="7" spans="1:29" s="1" customFormat="1" ht="27.75" customHeight="1">
      <c r="B7" s="387" t="str">
        <f>IF(B5="English","Survey Report of Chemical Substance in Products",IF(B5="中国語","产品含有化学物质调查表","製品含有化学物質調査表"))</f>
        <v>製品含有化学物質調査表</v>
      </c>
      <c r="C7" s="388"/>
      <c r="D7" s="388"/>
      <c r="E7" s="388"/>
      <c r="F7" s="388"/>
      <c r="G7" s="388"/>
      <c r="H7" s="388"/>
      <c r="I7" s="388"/>
      <c r="J7" s="388"/>
      <c r="K7" s="388"/>
      <c r="L7" s="388"/>
      <c r="M7" s="388"/>
      <c r="N7" s="4"/>
      <c r="O7" s="4"/>
      <c r="P7" s="4"/>
      <c r="Q7" s="5"/>
      <c r="R7" s="4"/>
      <c r="S7" s="6"/>
      <c r="T7" s="4"/>
      <c r="U7" s="4"/>
      <c r="V7" s="4"/>
      <c r="W7" s="1" t="s">
        <v>14</v>
      </c>
      <c r="X7" s="4"/>
      <c r="Y7" s="4"/>
      <c r="Z7" s="4"/>
      <c r="AA7" s="5"/>
    </row>
    <row r="8" spans="1:29" s="1" customFormat="1" ht="19.2" customHeight="1">
      <c r="B8" s="4"/>
      <c r="C8" s="4"/>
      <c r="D8" s="4"/>
      <c r="E8" s="4"/>
      <c r="F8" s="4"/>
      <c r="G8" s="4"/>
      <c r="H8" s="4"/>
      <c r="I8" s="4"/>
      <c r="J8" s="4"/>
      <c r="K8" s="4"/>
      <c r="L8" s="4"/>
      <c r="M8" s="4"/>
      <c r="N8" s="4"/>
      <c r="O8" s="389" t="str">
        <f>IF(B5="English","Document No.:",IF(B5="中国語","资料 No.:","資料No.:"))</f>
        <v>資料No.:</v>
      </c>
      <c r="P8" s="389"/>
      <c r="Q8" s="389"/>
      <c r="R8" s="4"/>
      <c r="S8" s="9"/>
      <c r="T8" s="4"/>
      <c r="U8" s="4"/>
      <c r="V8" s="4"/>
      <c r="W8" s="1" t="s">
        <v>15</v>
      </c>
      <c r="X8" s="10"/>
      <c r="Y8" s="10"/>
      <c r="Z8" s="10"/>
      <c r="AA8" s="9"/>
    </row>
    <row r="9" spans="1:29" s="1" customFormat="1" ht="19.2" customHeight="1">
      <c r="C9" s="12"/>
      <c r="D9" s="12"/>
      <c r="E9" s="12"/>
      <c r="F9" s="12"/>
      <c r="G9" s="12"/>
      <c r="H9" s="12"/>
      <c r="I9" s="12"/>
      <c r="J9" s="12"/>
      <c r="K9" s="12"/>
      <c r="L9" s="12"/>
      <c r="M9" s="12"/>
      <c r="N9" s="12"/>
      <c r="O9" s="390"/>
      <c r="P9" s="390"/>
      <c r="Q9" s="390"/>
      <c r="R9" s="12"/>
      <c r="S9" s="9"/>
      <c r="T9" s="12"/>
      <c r="U9" s="12"/>
      <c r="V9" s="12"/>
      <c r="W9" s="1" t="s">
        <v>16</v>
      </c>
      <c r="X9" s="13"/>
      <c r="Y9" s="14"/>
      <c r="Z9" s="14"/>
      <c r="AA9" s="9"/>
    </row>
    <row r="10" spans="1:29" s="1" customFormat="1" ht="19.2" customHeight="1">
      <c r="B10" s="391"/>
      <c r="C10" s="390"/>
      <c r="D10" s="390"/>
      <c r="E10" s="390"/>
      <c r="F10" s="392"/>
      <c r="G10" s="392"/>
      <c r="H10" s="392"/>
      <c r="I10" s="15"/>
      <c r="J10" s="15"/>
      <c r="K10" s="15"/>
      <c r="L10" s="15"/>
      <c r="M10" s="15"/>
      <c r="N10" s="15"/>
      <c r="O10" s="393" t="str">
        <f>IF(B5="English","Supplier's code No.:",IF(B5="中国語","供应商编码:","取引先コードNo.:"))</f>
        <v>取引先コードNo.:</v>
      </c>
      <c r="P10" s="393"/>
      <c r="Q10" s="393"/>
      <c r="R10" s="15"/>
      <c r="S10" s="16"/>
      <c r="T10" s="15"/>
      <c r="W10" s="17"/>
      <c r="X10" s="17"/>
      <c r="Y10" s="17"/>
      <c r="Z10" s="17"/>
      <c r="AA10" s="16"/>
    </row>
    <row r="11" spans="1:29" s="1" customFormat="1" ht="19.2" customHeight="1">
      <c r="B11" s="378"/>
      <c r="C11" s="379"/>
      <c r="D11" s="379"/>
      <c r="E11" s="379"/>
      <c r="F11" s="380"/>
      <c r="G11" s="380"/>
      <c r="H11" s="380"/>
      <c r="I11" s="11"/>
      <c r="J11" s="11"/>
      <c r="K11" s="11"/>
      <c r="L11" s="11"/>
      <c r="M11" s="11"/>
      <c r="N11" s="11"/>
      <c r="O11" s="381"/>
      <c r="P11" s="381"/>
      <c r="Q11" s="381"/>
      <c r="R11" s="11"/>
      <c r="S11" s="18"/>
      <c r="T11" s="15"/>
      <c r="V11" s="19"/>
      <c r="W11" s="18"/>
      <c r="X11" s="18"/>
      <c r="Y11" s="18"/>
      <c r="Z11" s="18"/>
      <c r="AA11" s="18"/>
      <c r="AB11" s="111"/>
      <c r="AC11" s="111"/>
    </row>
    <row r="12" spans="1:29" s="1" customFormat="1" ht="10.199999999999999" customHeight="1">
      <c r="B12" s="20"/>
      <c r="C12" s="21"/>
      <c r="D12" s="21"/>
      <c r="E12" s="21"/>
      <c r="F12" s="21"/>
      <c r="G12" s="21"/>
      <c r="H12" s="21"/>
      <c r="I12" s="21"/>
      <c r="J12" s="21"/>
      <c r="K12" s="21"/>
      <c r="L12" s="21"/>
      <c r="M12" s="21"/>
      <c r="N12" s="22"/>
      <c r="O12" s="22"/>
      <c r="P12" s="9"/>
      <c r="Q12" s="23"/>
      <c r="R12" s="23"/>
      <c r="S12" s="22"/>
      <c r="T12" s="22"/>
      <c r="V12" s="24"/>
      <c r="W12" s="18"/>
      <c r="X12" s="18"/>
      <c r="Y12" s="18"/>
      <c r="Z12" s="18"/>
      <c r="AA12" s="18"/>
      <c r="AB12" s="111"/>
      <c r="AC12" s="111"/>
    </row>
    <row r="13" spans="1:29" s="1" customFormat="1" ht="15" customHeight="1">
      <c r="B13" s="25" t="str">
        <f>IF(B5="English","[Manufacturer to fill out］",IF(B5="中国語","[提出源记入栏］","[提出元記入欄］"))</f>
        <v>[提出元記入欄］</v>
      </c>
      <c r="C13" s="7"/>
      <c r="E13" s="7"/>
      <c r="F13" s="7"/>
      <c r="G13" s="7"/>
      <c r="H13" s="7"/>
      <c r="I13" s="26"/>
      <c r="J13" s="26"/>
      <c r="K13" s="26"/>
      <c r="L13" s="26"/>
      <c r="M13" s="27"/>
      <c r="N13" s="28"/>
      <c r="O13" s="28"/>
      <c r="P13" s="3"/>
      <c r="T13" s="25"/>
      <c r="U13" s="29"/>
      <c r="AB13" s="111"/>
    </row>
    <row r="14" spans="1:29" s="1" customFormat="1" ht="19.2" customHeight="1">
      <c r="A14" s="3"/>
      <c r="B14" s="231" t="str">
        <f>IF(B5="English","Date(yy.mm.dd)",IF(B5="中国語","发行日","発行日"))</f>
        <v>発行日</v>
      </c>
      <c r="C14" s="364"/>
      <c r="D14" s="382" t="s">
        <v>1</v>
      </c>
      <c r="E14" s="383"/>
      <c r="F14" s="383"/>
      <c r="G14" s="383"/>
      <c r="H14" s="383"/>
      <c r="I14" s="231" t="str">
        <f>IF(B5="English","E-mail",IF(B5="中国語","邮箱地址","メールアドレス"))</f>
        <v>メールアドレス</v>
      </c>
      <c r="J14" s="374"/>
      <c r="K14" s="374"/>
      <c r="L14" s="374"/>
      <c r="M14" s="375"/>
      <c r="N14" s="365" t="s">
        <v>2</v>
      </c>
      <c r="O14" s="376"/>
      <c r="P14" s="376"/>
      <c r="Q14" s="376"/>
      <c r="R14" s="30"/>
      <c r="S14" s="30"/>
      <c r="U14" s="111"/>
      <c r="V14" s="111"/>
      <c r="W14" s="111"/>
      <c r="X14" s="111"/>
      <c r="Y14" s="111"/>
    </row>
    <row r="15" spans="1:29" s="1" customFormat="1" ht="19.2" customHeight="1">
      <c r="A15" s="3"/>
      <c r="B15" s="231" t="str">
        <f>IF(B5="English","Company name",IF(B5="中国語","公司名称","会社名"))</f>
        <v>会社名</v>
      </c>
      <c r="C15" s="364"/>
      <c r="D15" s="365" t="s">
        <v>1</v>
      </c>
      <c r="E15" s="366"/>
      <c r="F15" s="366"/>
      <c r="G15" s="366"/>
      <c r="H15" s="366"/>
      <c r="I15" s="231" t="str">
        <f>IF(B5="English","Phone number",IF(B5="中国語","电话号码","電話番号"))</f>
        <v>電話番号</v>
      </c>
      <c r="J15" s="374"/>
      <c r="K15" s="374"/>
      <c r="L15" s="374"/>
      <c r="M15" s="375"/>
      <c r="N15" s="365"/>
      <c r="O15" s="376"/>
      <c r="P15" s="376"/>
      <c r="Q15" s="376"/>
      <c r="R15" s="30"/>
      <c r="S15" s="30"/>
      <c r="U15" s="111"/>
      <c r="V15" s="111"/>
      <c r="W15" s="111"/>
      <c r="X15" s="111"/>
      <c r="Y15" s="111"/>
    </row>
    <row r="16" spans="1:29" s="1" customFormat="1" ht="19.2" customHeight="1">
      <c r="A16" s="3"/>
      <c r="B16" s="231" t="str">
        <f>IF(B5="English","Division name",IF(B5="中国語","部门名称","部署名"))</f>
        <v>部署名</v>
      </c>
      <c r="C16" s="364"/>
      <c r="D16" s="365" t="s">
        <v>2</v>
      </c>
      <c r="E16" s="366"/>
      <c r="F16" s="366"/>
      <c r="G16" s="366"/>
      <c r="H16" s="366"/>
      <c r="I16" s="231" t="str">
        <f>IF(B5="English","Responsible person (in block)",IF(B5="中国語","责任者名","責任者名"))</f>
        <v>責任者名</v>
      </c>
      <c r="J16" s="374"/>
      <c r="K16" s="374"/>
      <c r="L16" s="374"/>
      <c r="M16" s="375"/>
      <c r="N16" s="365" t="s">
        <v>2</v>
      </c>
      <c r="O16" s="377"/>
      <c r="P16" s="377"/>
      <c r="Q16" s="377"/>
      <c r="R16" s="30"/>
      <c r="S16" s="30"/>
      <c r="U16" s="111"/>
      <c r="V16" s="111"/>
      <c r="W16" s="111"/>
      <c r="X16" s="111"/>
      <c r="Y16" s="111"/>
    </row>
    <row r="17" spans="1:27" s="1" customFormat="1" ht="19.2" customHeight="1">
      <c r="B17" s="231" t="str">
        <f>IF(B5="English","Written by ",IF(B5="中国語","填写者名","記入者名"))</f>
        <v>記入者名</v>
      </c>
      <c r="C17" s="364"/>
      <c r="D17" s="365" t="s">
        <v>1</v>
      </c>
      <c r="E17" s="366"/>
      <c r="F17" s="366"/>
      <c r="G17" s="366"/>
      <c r="H17" s="366"/>
      <c r="I17" s="294" t="str">
        <f>IF(B5="English","Signature",IF(B5="中国語","盖章","印"))</f>
        <v>印</v>
      </c>
      <c r="J17" s="367"/>
      <c r="K17" s="367"/>
      <c r="L17" s="367"/>
      <c r="M17" s="368"/>
      <c r="N17" s="369" t="str">
        <f>IF(B5="English","",IF(B5="中国語","盖章","印"))</f>
        <v>印</v>
      </c>
      <c r="O17" s="370"/>
      <c r="P17" s="370"/>
      <c r="Q17" s="370"/>
      <c r="R17" s="3"/>
      <c r="S17" s="3"/>
    </row>
    <row r="18" spans="1:27" s="1" customFormat="1" ht="10.199999999999999" customHeight="1">
      <c r="O18" s="27"/>
      <c r="P18" s="28"/>
      <c r="Q18" s="28"/>
      <c r="AA18" s="31"/>
    </row>
    <row r="19" spans="1:27" s="1" customFormat="1" ht="14.7" customHeight="1">
      <c r="A19" s="32"/>
      <c r="B19" s="33" t="str">
        <f>IF(B5="English"," Part name or Part number",IF(B5="中国語","品名・品番号・图番号・条款编号","品名・品番・図番・アイテムコード"))</f>
        <v>品名・品番・図番・アイテムコード</v>
      </c>
      <c r="C19" s="32"/>
      <c r="I19" s="34"/>
      <c r="Q19" s="35"/>
    </row>
    <row r="20" spans="1:27" s="1" customFormat="1" ht="19.2" customHeight="1">
      <c r="B20" s="371" t="str">
        <f>IF(B5="English","Our part name, Manufacturer :",IF(B5="中国語","本公司品名(厂家名):","弊社品名(メーカー名)："))</f>
        <v>弊社品名(メーカー名)：</v>
      </c>
      <c r="C20" s="372"/>
      <c r="D20" s="373"/>
      <c r="E20" s="373"/>
      <c r="F20" s="373"/>
      <c r="G20" s="373"/>
      <c r="H20" s="371"/>
      <c r="I20" s="287" t="str">
        <f>IF(B5="English","Our part, drawing number :",IF(B5="中国語","本公司品番号, 图番 :","弊社品番,図番等："))</f>
        <v>弊社品番,図番等：</v>
      </c>
      <c r="J20" s="371"/>
      <c r="K20" s="371"/>
      <c r="L20" s="371"/>
      <c r="M20" s="371"/>
      <c r="N20" s="362"/>
      <c r="O20" s="363"/>
      <c r="P20" s="363"/>
      <c r="Q20" s="363"/>
      <c r="R20" s="36"/>
      <c r="S20" s="36"/>
    </row>
    <row r="21" spans="1:27" s="1" customFormat="1" ht="19.2" customHeight="1">
      <c r="B21" s="358" t="str">
        <f>IF(B5="English","MinebeaMitsumi part name:",IF(B5="中国語","美蓓亚三美G 品名:","ミネベアミツミG品名："))</f>
        <v>ミネベアミツミG品名：</v>
      </c>
      <c r="C21" s="359"/>
      <c r="D21" s="360"/>
      <c r="E21" s="360"/>
      <c r="F21" s="360"/>
      <c r="G21" s="360"/>
      <c r="H21" s="358"/>
      <c r="I21" s="361" t="str">
        <f>IF(B5="English","MinebeaMitsumi G part No.:",IF(B5="中国語","美蓓亚三美G 品番:","ミネベアミツミG品番："))</f>
        <v>ミネベアミツミG品番：</v>
      </c>
      <c r="J21" s="358"/>
      <c r="K21" s="358"/>
      <c r="L21" s="358"/>
      <c r="M21" s="358"/>
      <c r="N21" s="362"/>
      <c r="O21" s="363"/>
      <c r="P21" s="363"/>
      <c r="Q21" s="363"/>
      <c r="R21" s="37"/>
      <c r="S21" s="37"/>
    </row>
    <row r="22" spans="1:27" s="1" customFormat="1" ht="19.2" customHeight="1">
      <c r="B22" s="358" t="str">
        <f>IF(B5="English","MinebeaMitsumi Drawing No.:",IF(B5="中国語","美蓓亚三美G 图番","ミネベアミツミG図番："))</f>
        <v>ミネベアミツミG図番：</v>
      </c>
      <c r="C22" s="359"/>
      <c r="D22" s="360"/>
      <c r="E22" s="360"/>
      <c r="F22" s="360"/>
      <c r="G22" s="360"/>
      <c r="H22" s="358"/>
      <c r="I22" s="259" t="str">
        <f>IF(B5="English","MinebeaMitsumi Item code",IF(B5="中国語","美蓓亚三美条款编号","ミネベアミツミGアイテムコード："))</f>
        <v>ミネベアミツミGアイテムコード：</v>
      </c>
      <c r="J22" s="358"/>
      <c r="K22" s="358"/>
      <c r="L22" s="358"/>
      <c r="M22" s="358"/>
      <c r="N22" s="362"/>
      <c r="O22" s="363"/>
      <c r="P22" s="363"/>
      <c r="Q22" s="363"/>
      <c r="R22" s="37"/>
      <c r="S22" s="37"/>
    </row>
    <row r="23" spans="1:27" ht="19.2" customHeight="1">
      <c r="A23" s="38"/>
      <c r="B23" s="11"/>
      <c r="C23" s="39"/>
      <c r="D23" s="39"/>
      <c r="E23" s="39"/>
      <c r="F23" s="39"/>
      <c r="G23" s="39"/>
      <c r="H23" s="39"/>
      <c r="I23" s="40"/>
      <c r="J23" s="40"/>
      <c r="K23" s="40"/>
      <c r="L23" s="40"/>
      <c r="M23" s="41"/>
      <c r="N23" s="41"/>
      <c r="O23" s="42"/>
      <c r="P23" s="43"/>
      <c r="Q23" s="44"/>
      <c r="R23" s="44"/>
      <c r="S23" s="45"/>
    </row>
    <row r="24" spans="1:27" ht="19.2" customHeight="1">
      <c r="A24" s="47"/>
      <c r="B24" s="346" t="str">
        <f>IF(B5="English","Product Mass",IF(B5="中国語","产品质量","製品質量"))</f>
        <v>製品質量</v>
      </c>
      <c r="C24" s="347"/>
      <c r="D24" s="106"/>
      <c r="E24" s="48" t="s">
        <v>19</v>
      </c>
      <c r="F24" s="49" t="s">
        <v>20</v>
      </c>
      <c r="G24" s="50" t="s">
        <v>4</v>
      </c>
      <c r="H24" s="51"/>
      <c r="I24" s="52"/>
      <c r="J24" s="52"/>
      <c r="K24" s="52"/>
      <c r="L24" s="52"/>
    </row>
    <row r="25" spans="1:27" ht="10.199999999999999" customHeight="1">
      <c r="A25" s="47"/>
      <c r="B25" s="30"/>
      <c r="C25" s="30"/>
      <c r="D25" s="47"/>
      <c r="E25" s="47"/>
      <c r="F25" s="47"/>
      <c r="G25" s="47"/>
      <c r="H25" s="51"/>
      <c r="I25" s="52"/>
      <c r="J25" s="52"/>
      <c r="K25" s="52"/>
      <c r="L25" s="52"/>
    </row>
    <row r="26" spans="1:27" s="53" customFormat="1" ht="12" hidden="1" customHeight="1">
      <c r="B26" s="54" t="s">
        <v>12</v>
      </c>
      <c r="C26" s="55"/>
      <c r="D26" s="55"/>
      <c r="E26" s="55"/>
      <c r="F26" s="55"/>
      <c r="G26" s="55"/>
      <c r="H26" s="55"/>
      <c r="I26" s="55"/>
      <c r="J26" s="55"/>
      <c r="K26" s="55"/>
      <c r="L26" s="55"/>
      <c r="M26" s="55"/>
      <c r="N26" s="55"/>
      <c r="O26" s="55"/>
      <c r="P26" s="55"/>
      <c r="Q26" s="55"/>
      <c r="R26" s="55"/>
      <c r="S26" s="55"/>
      <c r="T26" s="55"/>
    </row>
    <row r="27" spans="1:27" s="53" customFormat="1" ht="12" hidden="1" customHeight="1">
      <c r="B27" s="55" t="str">
        <f>IF(B5="English","Main Component",IF(B5="中国語","主成分","主成分"))</f>
        <v>主成分</v>
      </c>
      <c r="C27" s="55"/>
      <c r="D27" s="55"/>
      <c r="E27" s="55"/>
      <c r="F27" s="55"/>
      <c r="G27" s="55"/>
      <c r="H27" s="55"/>
      <c r="I27" s="55"/>
      <c r="J27" s="55"/>
      <c r="K27" s="55"/>
      <c r="L27" s="55"/>
      <c r="M27" s="103" t="str">
        <f>IF(B5="English","base_material",IF(B5="中国語","母材","母材"))</f>
        <v>母材</v>
      </c>
      <c r="N27" s="103" t="str">
        <f>IF(B5="English","clad",IF(B5="中国語","包覆","被覆"))</f>
        <v>被覆</v>
      </c>
      <c r="O27" s="103" t="str">
        <f>IF(B5="English","attached_agent",IF(B5="中国語","附着剤","付着剤"))</f>
        <v>付着剤</v>
      </c>
      <c r="P27" s="103" t="str">
        <f>IF(B5="English","inner_preparations",IF(B5="中国語","包含剂_适用于运转用配制品","内包剤_運転用調剤などに適用"))</f>
        <v>内包剤_運転用調剤などに適用</v>
      </c>
      <c r="Q27" s="103" t="str">
        <f>IF(B5="English","solder_joint",IF(B5="中国語","焊点","はんだ接合"))</f>
        <v>はんだ接合</v>
      </c>
      <c r="R27" s="103" t="str">
        <f>IF(B5="English","plating",IF(B5="中国語","表面处理_电镀","表面処理系_めっき"))</f>
        <v>表面処理系_めっき</v>
      </c>
      <c r="S27" s="104" t="str">
        <f>IF(B5="English","chemical_conversion_treatment",IF(B5="中国語","表面处理_化学合成处理","表面処理系_化成処理"))</f>
        <v>表面処理系_化成処理</v>
      </c>
      <c r="T27" s="104" t="str">
        <f>IF(B5="English","flame_spray_coating",IF(B5="中国語","表面处理_喷镀","表面処理系_溶射"))</f>
        <v>表面処理系_溶射</v>
      </c>
      <c r="U27" s="104" t="str">
        <f>IF(B5="English","PVD(Physical_Vapor_Deposition)",IF(B5="中国語","表面处理\PVD处理(物的蒸镀)","表面処理系_PVC処理"))</f>
        <v>表面処理系_PVC処理</v>
      </c>
      <c r="V27" s="104" t="str">
        <f>IF(B5="English","CVD(Chemical_Vapor_Deposition)",IF(B5="中国語","表面处理_CVD处理_化学的蒸镀","表面処理系_CVD処理"))</f>
        <v>表面処理系_CVD処理</v>
      </c>
      <c r="W27" s="104" t="str">
        <f>IF(B5="English","painting",IF(B5="中国語","表面处理_涂装","表面処理系_塗装"))</f>
        <v>表面処理系_塗装</v>
      </c>
      <c r="X27" s="104" t="str">
        <f>IF(B5="English","marking",IF(B5="中国語","表面处理_标印","表面処理系_マーキング"))</f>
        <v>表面処理系_マーキング</v>
      </c>
    </row>
    <row r="28" spans="1:27" s="53" customFormat="1" ht="12" hidden="1" customHeight="1">
      <c r="B28" s="55" t="str">
        <f>IF(B5="English","Metal, Alloy Component",IF(B5="中国語","金属、合金成分","金属、合金成分"))</f>
        <v>金属、合金成分</v>
      </c>
      <c r="C28" s="55"/>
      <c r="D28" s="55"/>
      <c r="E28" s="55"/>
      <c r="F28" s="55"/>
      <c r="G28" s="55"/>
      <c r="H28" s="55"/>
      <c r="I28" s="55"/>
      <c r="J28" s="55"/>
      <c r="K28" s="55"/>
      <c r="L28" s="55"/>
      <c r="M28" s="103" t="str">
        <f>IF(B5="English","highly alloyed steel",IF(B5="中国語","高合金钢","高合金鋼"))</f>
        <v>高合金鋼</v>
      </c>
      <c r="N28" s="103" t="str">
        <f>IF(B5="English","Ceramics",IF(B5="中国語","陶瓷","セラミック"))</f>
        <v>セラミック</v>
      </c>
      <c r="O28" s="103" t="str">
        <f>IF(B5="English","filled Thermoplastics",IF(B5="中国語","含有填料带（填料）的热可塑树脂","フィラー(充填材)を含有する熱可塑性樹脂"))</f>
        <v>フィラー(充填材)を含有する熱可塑性樹脂</v>
      </c>
      <c r="P28" s="103" t="str">
        <f>IF(B5="English","Refrigerant",IF(B5="中国語","气体(制冷剂等)","冷媒"))</f>
        <v>冷媒</v>
      </c>
      <c r="Q28" s="103" t="str">
        <f>IF(B5="English","Sn-Pb solder",IF(B5="中国語","有铅焊锡","含鉛はんだ"))</f>
        <v>含鉛はんだ</v>
      </c>
      <c r="R28" s="103" t="str">
        <f>IF(B5="English","Zinc plating",IF(B5="中国語","镀锌","亜鉛めっき"))</f>
        <v>亜鉛めっき</v>
      </c>
      <c r="S28" s="103" t="str">
        <f>IF(B5="English","Hexavalent chromate film",IF(B5="中国語","铬酸盐膜,六价铬处理","クロメート被膜・６価クロム処理"))</f>
        <v>クロメート被膜・６価クロム処理</v>
      </c>
      <c r="T28" s="103" t="str">
        <f>IF(B5="English","Zinc spray coating",IF(B5="中国語","喷镀锌","亜鉛溶射"))</f>
        <v>亜鉛溶射</v>
      </c>
      <c r="U28" s="104" t="str">
        <f>IF(B5="English","CrN Coatings",IF(B5="中国語","CrN 涂层","CrN コーティング"))</f>
        <v>CrN コーティング</v>
      </c>
      <c r="V28" s="104" t="str">
        <f>IF(B5="English","CrN Coatings",IF(B5="中国語","CrN 涂层","CrN コーティング"))</f>
        <v>CrN コーティング</v>
      </c>
      <c r="W28" s="104" t="str">
        <f>IF(B5="English","Painted resin",IF(B5="中国語","涂膜树脂","塗膜樹脂"))</f>
        <v>塗膜樹脂</v>
      </c>
      <c r="X28" s="104" t="str">
        <f>IF(B5="English","Painted resin",IF(B5="中国語","涂膜树脂","塗膜樹脂"))</f>
        <v>塗膜樹脂</v>
      </c>
    </row>
    <row r="29" spans="1:27" s="53" customFormat="1" ht="12" hidden="1" customHeight="1">
      <c r="B29" s="55" t="str">
        <f>IF(B5="English","Resistance Component",IF(B5="中国語","抵抗成分","抵抗成分"))</f>
        <v>抵抗成分</v>
      </c>
      <c r="C29" s="55"/>
      <c r="D29" s="55"/>
      <c r="E29" s="55"/>
      <c r="F29" s="55"/>
      <c r="G29" s="55"/>
      <c r="H29" s="55"/>
      <c r="I29" s="55"/>
      <c r="J29" s="55"/>
      <c r="K29" s="55"/>
      <c r="L29" s="55"/>
      <c r="M29" s="103" t="str">
        <f>IF(B5="English","Highly alloyed cast iron",IF(B5="中国語","高合金铸铁","高合金鋳鉄"))</f>
        <v>高合金鋳鉄</v>
      </c>
      <c r="N29" s="103" t="str">
        <f>IF(B5="English","Glass",IF(B5="中国語","玻璃","ガラス"))</f>
        <v>ガラス</v>
      </c>
      <c r="O29" s="103" t="str">
        <f>IF(B5="English","PE (Polyethylene)",IF(B5="中国語","聚乙烯(PE)","PE(ポリエチレン)"))</f>
        <v>PE(ポリエチレン)</v>
      </c>
      <c r="P29" s="103" t="str">
        <f>IF(B5="English","Lubricants,Brake fluid, etc",IF(B5="中国語","液体(润滑剂、制动液等)","潤滑剤、ブレーキフルード、他"))</f>
        <v>潤滑剤、ブレーキフルード、他</v>
      </c>
      <c r="Q29" s="103" t="str">
        <f>IF(B5="English","Lead-free solder",IF(B5="中国語","无铅焊锡","非鉛はんだ"))</f>
        <v>非鉛はんだ</v>
      </c>
      <c r="R29" s="103" t="str">
        <f>IF(B5="English","Nickel plating",IF(B5="中国語","镀镍","ニッケルめっき"))</f>
        <v>ニッケルめっき</v>
      </c>
      <c r="S29" s="103" t="str">
        <f>IF(B5="English","Trivalent Chromium Passivation",IF(B5="中国語","三价铬酸盐处理","３価クロメート処理"))</f>
        <v>３価クロメート処理</v>
      </c>
      <c r="T29" s="103" t="str">
        <f>IF(B5="English","Aluminum spray coating",IF(B5="中国語","喷镀铝","アルミニウム溶射"))</f>
        <v>アルミニウム溶射</v>
      </c>
      <c r="U29" s="104" t="str">
        <f>IF(B5="English","DLC Coatings",IF(B5="中国語","DLC 涂层","DLC コーティング"))</f>
        <v>DLC コーティング</v>
      </c>
      <c r="V29" s="104" t="str">
        <f>IF(B5="English","DLC Coatings",IF(B5="中国語","DLC 涂层","DLC コーティング"))</f>
        <v>DLC コーティング</v>
      </c>
      <c r="W29" s="104" t="str">
        <f>IF(B5="English","Non electrolytically applied zinc flake coatings (Dacrotizing)",IF(B5="中国語","达克锈金属表面处理","ダクロ処理"))</f>
        <v>ダクロ処理</v>
      </c>
      <c r="X29" s="104" t="str">
        <f>IF(B5="English","Non electrolytically applied zinc flake coatings (Dacrotizing)",IF(B5="中国語","达克锈金属表面处理","ダクロ処理"))</f>
        <v>ダクロ処理</v>
      </c>
    </row>
    <row r="30" spans="1:27" s="53" customFormat="1" ht="12" hidden="1" customHeight="1">
      <c r="B30" s="55" t="str">
        <f>IF(B5="English","Dielectric Component",IF(B5="中国語","感应电体成分","誘電体成分"))</f>
        <v>誘電体成分</v>
      </c>
      <c r="C30" s="55"/>
      <c r="D30" s="55"/>
      <c r="E30" s="55"/>
      <c r="F30" s="55"/>
      <c r="G30" s="55"/>
      <c r="H30" s="55"/>
      <c r="I30" s="55"/>
      <c r="J30" s="55"/>
      <c r="K30" s="55"/>
      <c r="L30" s="55"/>
      <c r="M30" s="103" t="str">
        <f>IF(B5="English","Steels/cast steel/sintered steel",IF(B5="中国語","钢铁/铸钢/烧结合金","鉄鋼/鋳鋼/焼結合金"))</f>
        <v>鉄鋼/鋳鋼/焼結合金</v>
      </c>
      <c r="N30" s="103" t="str">
        <f>IF(B5="English","Other inorganic compounds",IF(B5="中国語","其它无机化合物","その他無機化合物"))</f>
        <v>その他無機化合物</v>
      </c>
      <c r="O30" s="103" t="str">
        <f>IF(B5="English","PP(Polypropylene)",IF(B5="中国語","聚丙烯 (PP)","PP(ポリプロピレン) "))</f>
        <v xml:space="preserve">PP(ポリプロピレン) </v>
      </c>
      <c r="P30" s="103" t="str">
        <f>IF(B5="English","Others (Powder,etc)",IF(B5="中国語","其他材料（粉末等）","その他材料（粉体ほか）"))</f>
        <v>その他材料（粉体ほか）</v>
      </c>
      <c r="Q30" s="103"/>
      <c r="R30" s="103" t="str">
        <f>IF(B5="English","Aluminum plating",IF(B5="中国語","镀铝","アルミニウムめっき"))</f>
        <v>アルミニウムめっき</v>
      </c>
      <c r="S30" s="103" t="str">
        <f>IF(B5="English","Chromium-free Passivation",IF(B5="中国語","无铬处理","クロムフリー処理"))</f>
        <v>クロムフリー処理</v>
      </c>
      <c r="T30" s="103" t="str">
        <f>IF(B5="English","Build-up thermal spraying",IF(B5="中国語","堆焊喷镀","肉盛溶射"))</f>
        <v>肉盛溶射</v>
      </c>
      <c r="U30" s="104" t="str">
        <f>IF(B5="English","TiN Coatings",IF(B5="中国語","TiN 涂层","TiN コーティング"))</f>
        <v>TiN コーティング</v>
      </c>
      <c r="V30" s="104" t="str">
        <f>IF(B5="English","TiN Coatings",IF(B5="中国語","TiN 涂层","TiN コーティング"))</f>
        <v>TiN コーティング</v>
      </c>
      <c r="W30" s="104" t="str">
        <f>IF(B5="English","Coating (ceramics)",IF(B5="中国語","涂层（陶瓷）","コーティング（セラミックス）"))</f>
        <v>コーティング（セラミックス）</v>
      </c>
      <c r="X30" s="104" t="str">
        <f>IF(B5="English","Coating (ceramics)",IF(B5="中国語","涂层（陶瓷）","コーティング（セラミックス）"))</f>
        <v>コーティング（セラミックス）</v>
      </c>
    </row>
    <row r="31" spans="1:27" s="53" customFormat="1" ht="12" hidden="1" customHeight="1">
      <c r="B31" s="55" t="str">
        <f>IF(B5="English","Glass Component",IF(B5="中国語","玻璃成分","ガラス成分"))</f>
        <v>ガラス成分</v>
      </c>
      <c r="C31" s="55"/>
      <c r="D31" s="55"/>
      <c r="E31" s="55"/>
      <c r="F31" s="55"/>
      <c r="G31" s="55"/>
      <c r="H31" s="55"/>
      <c r="I31" s="55"/>
      <c r="J31" s="55"/>
      <c r="K31" s="55"/>
      <c r="L31" s="55"/>
      <c r="M31" s="103" t="str">
        <f>IF(B5="English","unalloyed, low alloyed steel",IF(B5="中国語","非合金,低合金钢","非合金,低合金鋼"))</f>
        <v>非合金,低合金鋼</v>
      </c>
      <c r="N31" s="103" t="str">
        <f>IF(B5="English","filled Thermoplastics",IF(B5="中国語","含有填料带（填料）的热可塑树脂","フィラー(充填材)を含有する熱可塑性樹脂"))</f>
        <v>フィラー(充填材)を含有する熱可塑性樹脂</v>
      </c>
      <c r="O31" s="103" t="str">
        <f>IF(B5="English","PS (Polystyrene)",IF(B5="聚苯乙烯 (PS)","部位名","PS(ポリスチレン)"))</f>
        <v>PS(ポリスチレン)</v>
      </c>
      <c r="P31" s="104"/>
      <c r="Q31" s="103"/>
      <c r="R31" s="103" t="str">
        <f>IF(B5="English","Copper plating",IF(B5="中国語","镀铜","銅めっき"))</f>
        <v>銅めっき</v>
      </c>
      <c r="S31" s="103" t="str">
        <f>IF(B5="English","GEOMET Coating",IF(B5="中国語","GOMET(无铬)处理","ジオメット処理（ノンクロム）処理"))</f>
        <v>ジオメット処理（ノンクロム）処理</v>
      </c>
      <c r="T31" s="103" t="str">
        <f>IF(B5="English","Thermal spraying of self-fluxing alloy SFCo",IF(B5="中国語","钴自熔性合金喷镀","コバルト自溶合金溶射"))</f>
        <v>コバルト自溶合金溶射</v>
      </c>
      <c r="U31" s="104" t="str">
        <f>IF(B5="English","Gold vapor deposition film(Icd.Sputtering)",IF(B5="中国語","汽化镀金膜（包含喷溅）","金蒸着（スパッタを含む）"))</f>
        <v>金蒸着（スパッタを含む）</v>
      </c>
      <c r="V31" s="104" t="str">
        <f>IF(B5="English","Gold vapor deposition film(Icd.Sputtering)",IF(B5="中国語","汽化镀金膜（包含喷溅）","金蒸着（スパッタを含む）"))</f>
        <v>金蒸着（スパッタを含む）</v>
      </c>
      <c r="W31" s="104" t="str">
        <f>IF(B5="English","Coating (glass)",IF(B5="中国語","涂层（玻璃）","コーティング（ガラス）"))</f>
        <v>コーティング（ガラス）</v>
      </c>
      <c r="X31" s="104" t="str">
        <f>IF(B5="English","Coating (glass)",IF(B5="中国語","涂层（玻璃）","コーティング（ガラス）"))</f>
        <v>コーティング（ガラス）</v>
      </c>
    </row>
    <row r="32" spans="1:27" s="53" customFormat="1" ht="12" hidden="1" customHeight="1">
      <c r="B32" s="55" t="str">
        <f>IF(B5="English","Resin Component",IF(B5="中国語","树脂成分","樹脂成分"))</f>
        <v>樹脂成分</v>
      </c>
      <c r="C32" s="55"/>
      <c r="D32" s="55"/>
      <c r="E32" s="55"/>
      <c r="F32" s="55"/>
      <c r="G32" s="55"/>
      <c r="H32" s="55"/>
      <c r="I32" s="55"/>
      <c r="J32" s="55"/>
      <c r="K32" s="55"/>
      <c r="L32" s="55"/>
      <c r="M32" s="103" t="str">
        <f>IF(B5="English","Cast iron",IF(B5="中国語","铸铁","鋳鉄"))</f>
        <v>鋳鉄</v>
      </c>
      <c r="N32" s="103" t="str">
        <f>IF(B5="English","PE (Polyethylene)",IF(B5="中国語","聚乙烯(PE)","PE(ポリエチレン)"))</f>
        <v>PE(ポリエチレン)</v>
      </c>
      <c r="O32" s="103" t="str">
        <f>IF(B5="English","PVC (Poly vinyl chloride)",IF(B5="中国語","聚氯乙烯 (PVC)","PVC(ポリ塩化ビニル)"))</f>
        <v>PVC(ポリ塩化ビニル)</v>
      </c>
      <c r="P32" s="104"/>
      <c r="Q32" s="103"/>
      <c r="R32" s="103" t="str">
        <f>IF(B5="English","Tin plating",IF(B5="中国語","镀锡","スズめっき"))</f>
        <v>スズめっき</v>
      </c>
      <c r="S32" s="103" t="str">
        <f>IF(B5="English","BONDE Coating (Oxalic)",IF(B5="中国語","磷酸盐处理","シュウ酸ボンデ処理"))</f>
        <v>シュウ酸ボンデ処理</v>
      </c>
      <c r="T32" s="103" t="str">
        <f>IF(B5="English","Thermal spraying of self-fluxing alloy SFWC",IF(B5="中国語","碳化钨自熔性合金喷镀","タングステンカーバイト自溶合金溶射"))</f>
        <v>タングステンカーバイト自溶合金溶射</v>
      </c>
      <c r="U32" s="104" t="str">
        <f>IF(B5="English","Vapor deposition film(Icd.Sputtering) of other noble or rare metals",IF(B5="中国語","金以外的贵金属、稀金属蒸镀膜（包含喷溅）","金以外の貴金属・希少金属蒸着（スパッタを含む）"))</f>
        <v>金以外の貴金属・希少金属蒸着（スパッタを含む）</v>
      </c>
      <c r="V32" s="104" t="str">
        <f>IF(B5="English","Vapor deposition film(Icd.Sputtering) of other noble or rare metals",IF(B5="中国語","金以外的贵金属、稀金属蒸镀膜（包含喷溅）","金以外の貴金属・希少金属蒸着（スパッタを含む）"))</f>
        <v>金以外の貴金属・希少金属蒸着（スパッタを含む）</v>
      </c>
      <c r="W32" s="104" t="str">
        <f>IF(B5="English","Coating (Other compounds)",IF(B5="中国語","涂层（其他复合材料）","コーティング（他の複合材）"))</f>
        <v>コーティング（他の複合材）</v>
      </c>
      <c r="X32" s="104" t="str">
        <f>IF(B5="English","Coating (Other compounds)",IF(B5="中国語","涂层（其他复合材料）","コーティング（他の複合材）"))</f>
        <v>コーティング（他の複合材）</v>
      </c>
    </row>
    <row r="33" spans="2:24" s="53" customFormat="1" ht="12" hidden="1" customHeight="1">
      <c r="B33" s="55" t="str">
        <f>IF(B5="English","Ceramics Component",IF(B5="中国語","陶瓷成分","セラミックス"))</f>
        <v>セラミックス</v>
      </c>
      <c r="C33" s="55"/>
      <c r="D33" s="55"/>
      <c r="E33" s="55"/>
      <c r="F33" s="55"/>
      <c r="G33" s="55"/>
      <c r="H33" s="55"/>
      <c r="I33" s="55"/>
      <c r="J33" s="55"/>
      <c r="K33" s="55"/>
      <c r="L33" s="55"/>
      <c r="M33" s="103" t="str">
        <f>IF(B5="English","Cast iron with lamellar graphite / tempered cast iron",IF(B5="中国語","片状石墨铸铁/可锻铸铁","片状黒鉛鋳鉄/可鍛鋳鉄"))</f>
        <v>片状黒鉛鋳鉄/可鍛鋳鉄</v>
      </c>
      <c r="N33" s="103" t="str">
        <f>IF(B5="English","PP(Polypropylene)",IF(B5="中国語","聚丙烯 (PP)","PP(ポリプロピレン) "))</f>
        <v xml:space="preserve">PP(ポリプロピレン) </v>
      </c>
      <c r="O33" s="103" t="str">
        <f>IF(B5="English","PC (Polycarbonate)",IF(B5="中国語","聚碳酸酯 (PC)","PC(ポリカーボネート)"))</f>
        <v>PC(ポリカーボネート)</v>
      </c>
      <c r="P33" s="104"/>
      <c r="Q33" s="103"/>
      <c r="R33" s="103" t="str">
        <f>IF(B5="English","Chromium plating",IF(B5="中国語","镀铬","クロムめっき"))</f>
        <v>クロムめっき</v>
      </c>
      <c r="S33" s="103" t="str">
        <f>IF(B5="English","ZAY Coating",IF(B5="中国語","ZAY 涂层处理","ZAY コート処理"))</f>
        <v>ZAY コート処理</v>
      </c>
      <c r="T33" s="103" t="str">
        <f>IF(B5="English","Ceramic sprayed Coatings P-AO",IF(B5="中国語","氧化铝喷镀","酸化アルミニウム溶射"))</f>
        <v>酸化アルミニウム溶射</v>
      </c>
      <c r="U33" s="104" t="str">
        <f>IF(B5="English","Other film coating of inorganic compounds",IF(B5="中国語","其他无机化合物的涂层","その他無機化合物のコーティング"))</f>
        <v>その他無機化合物のコーティング</v>
      </c>
      <c r="V33" s="104" t="str">
        <f>IF(B5="English","Other film coating of inorganic compounds",IF(B5="中国語","其他无机化合物的涂层","その他無機化合物のコーティング"))</f>
        <v>その他無機化合物のコーティング</v>
      </c>
      <c r="W33" s="104"/>
      <c r="X33" s="104"/>
    </row>
    <row r="34" spans="2:24" s="53" customFormat="1" ht="12" hidden="1" customHeight="1">
      <c r="B34" s="53" t="str">
        <f>IF(B5="English","Wiring Component",IF(B5="中国語","配线成分","配線成分"))</f>
        <v>配線成分</v>
      </c>
      <c r="C34" s="55"/>
      <c r="D34" s="55"/>
      <c r="E34" s="55"/>
      <c r="F34" s="55"/>
      <c r="G34" s="55"/>
      <c r="H34" s="55"/>
      <c r="I34" s="55"/>
      <c r="J34" s="55"/>
      <c r="K34" s="55"/>
      <c r="L34" s="55"/>
      <c r="M34" s="103" t="str">
        <f>IF(B5="English","Cast iron with nodular graphite / vermicular cast iron",IF(B5="中国語","球状石墨铸铁/蠕墨铸铁","球状黒鉛鋳鉄 /バーミキュラー鋳鉄"))</f>
        <v>球状黒鉛鋳鉄 /バーミキュラー鋳鉄</v>
      </c>
      <c r="N34" s="103" t="str">
        <f>IF(B5="English","PS (Polystyrene)",IF(B5="聚苯乙烯 (PS)","部位名","PS(ポリスチレン)"))</f>
        <v>PS(ポリスチレン)</v>
      </c>
      <c r="O34" s="103" t="str">
        <f>IF(B5="English","POM (Polyacetal)",IF(B5="中国語","聚缩醛 (POM)","POM(ポリアセタール)"))</f>
        <v>POM(ポリアセタール)</v>
      </c>
      <c r="P34" s="104"/>
      <c r="Q34" s="103"/>
      <c r="R34" s="103" t="str">
        <f>IF(B5="English","Cobalt plating",IF(B5="中国語","镀钴","コバルトめっき"))</f>
        <v>コバルトめっき</v>
      </c>
      <c r="S34" s="103" t="str">
        <f>IF(B5="English","Anodic Oxidation Coatings",IF(B5="中国語","氧化铝膜处理","アルマイト処理"))</f>
        <v>アルマイト処理</v>
      </c>
      <c r="T34" s="103" t="str">
        <f>IF(B5="English","Ceramic sprayed Coatings P-CrO",IF(B5="中国語","氧化铬喷镀","酸化クロム溶射"))</f>
        <v>酸化クロム溶射</v>
      </c>
      <c r="U34" s="104"/>
      <c r="V34" s="104"/>
      <c r="W34" s="104"/>
      <c r="X34" s="104"/>
    </row>
    <row r="35" spans="2:24" s="53" customFormat="1" ht="12" hidden="1" customHeight="1">
      <c r="B35" s="53" t="str">
        <f>IF(B5="English","Electrolytic Plating",IF(B5="中国語","电解电镀","電解メッキ"))</f>
        <v>電解メッキ</v>
      </c>
      <c r="C35" s="55"/>
      <c r="D35" s="55"/>
      <c r="E35" s="55"/>
      <c r="F35" s="55"/>
      <c r="G35" s="55"/>
      <c r="H35" s="55"/>
      <c r="I35" s="55"/>
      <c r="J35" s="55"/>
      <c r="K35" s="55"/>
      <c r="L35" s="55"/>
      <c r="M35" s="103" t="str">
        <f>IF(B5="English","Cast aluminium alloys",IF(B5="中国語","铸造铝合金","鋳造アルミニウム合金"))</f>
        <v>鋳造アルミニウム合金</v>
      </c>
      <c r="N35" s="103" t="str">
        <f>IF(B5="English","PVC (Poly vinyl chloride)",IF(B5="中国語","聚氯乙烯 (PVC)","PVC(ポリ塩化ビニル)"))</f>
        <v>PVC(ポリ塩化ビニル)</v>
      </c>
      <c r="O35" s="103" t="str">
        <f>IF(B5="English","A(B)S Poly(acrylonitrile (-butadiene)-styrene)",IF(B5="中国語","丙烯腈丁二烯苯乙烯树脂 (ABS)","ABS"))</f>
        <v>ABS</v>
      </c>
      <c r="P35" s="104"/>
      <c r="Q35" s="103"/>
      <c r="R35" s="103" t="str">
        <f>IF(B5="English","Gold plating",IF(B5="中国語","镀金","金めっき"))</f>
        <v>金めっき</v>
      </c>
      <c r="S35" s="103" t="str">
        <f>IF(B5="English","Combined coatings of anodic oxide and organic coatings",IF(B5="中国語","氧化铝膜涂层处理","アルマイト塗装処理"))</f>
        <v>アルマイト塗装処理</v>
      </c>
      <c r="T35" s="103" t="str">
        <f>IF(B5="English","Ceramic sprayed Coatings P-AO-MgO",IF(B5="中国語","尖晶石喷镀","スピネル溶射"))</f>
        <v>スピネル溶射</v>
      </c>
      <c r="U35" s="104"/>
      <c r="V35" s="104"/>
      <c r="W35" s="104"/>
      <c r="X35" s="104"/>
    </row>
    <row r="36" spans="2:24" s="53" customFormat="1" ht="12" hidden="1" customHeight="1">
      <c r="B36" s="53" t="str">
        <f>IF(B5="English","Non-Electrolytic plating ",IF(B5="中国語","无电解电镀","無電解メッキ"))</f>
        <v>無電解メッキ</v>
      </c>
      <c r="C36" s="55"/>
      <c r="D36" s="55"/>
      <c r="E36" s="55"/>
      <c r="F36" s="55"/>
      <c r="G36" s="55"/>
      <c r="H36" s="55"/>
      <c r="I36" s="55"/>
      <c r="J36" s="55"/>
      <c r="K36" s="55"/>
      <c r="L36" s="55"/>
      <c r="M36" s="103" t="str">
        <f>IF(B5="English","Wrought aluminium alloys",IF(B5="中国語","锻造铝合金","鍛造アルミニウム合金"))</f>
        <v>鍛造アルミニウム合金</v>
      </c>
      <c r="N36" s="103" t="str">
        <f>IF(B5="English","PC (Polycarbonate)",IF(B5="中国語","聚碳酸酯 (PC)","PC(ポリカーボネート)"))</f>
        <v>PC(ポリカーボネート)</v>
      </c>
      <c r="O36" s="103" t="str">
        <f>IF(B5="English","PA (Polyamide)",IF(B5="中国語","聚酰胺 (PA)","PA(ポリアミド)"))</f>
        <v>PA(ポリアミド)</v>
      </c>
      <c r="P36" s="104"/>
      <c r="Q36" s="103"/>
      <c r="R36" s="103" t="str">
        <f>IF(B5="English","Platinum plating",IF(B5="中国語","镀铂","白金めっき"))</f>
        <v>白金めっき</v>
      </c>
      <c r="S36" s="103" t="str">
        <f>IF(B5="English","Corrosion protection of magnesium alloys",IF(B5="中国語","防腐蚀处理","マグネシウム防食処理"))</f>
        <v>マグネシウム防食処理</v>
      </c>
      <c r="T36" s="103" t="str">
        <f>IF(B5="English","Ceramic sprayed Coatings P-ZrO",IF(B5="中国語","氧化锆喷镀","酸化ジルコニウム溶射"))</f>
        <v>酸化ジルコニウム溶射</v>
      </c>
      <c r="U36" s="104"/>
      <c r="V36" s="104"/>
      <c r="W36" s="104"/>
      <c r="X36" s="104"/>
    </row>
    <row r="37" spans="2:24" s="53" customFormat="1" ht="12" hidden="1" customHeight="1">
      <c r="B37" s="55" t="str">
        <f>IF(B5="English","Dyes, Pigment",IF(B5="中国語","颜料、着色料","顔料、着色料"))</f>
        <v>顔料、着色料</v>
      </c>
      <c r="C37" s="55"/>
      <c r="D37" s="55"/>
      <c r="E37" s="55"/>
      <c r="F37" s="55"/>
      <c r="G37" s="55"/>
      <c r="H37" s="55"/>
      <c r="I37" s="55"/>
      <c r="J37" s="55"/>
      <c r="K37" s="55"/>
      <c r="L37" s="55"/>
      <c r="M37" s="103" t="str">
        <f>IF(B5="English","Cast magnesium alloys",IF(B5="中国語","铸造镁合金","鋳造マグネシウム合金"))</f>
        <v>鋳造マグネシウム合金</v>
      </c>
      <c r="N37" s="103" t="str">
        <f>IF(B5="English","POM (Polyacetal)",IF(B5="中国語","聚缩醛 (POM)","POM(ポリアセタール)"))</f>
        <v>POM(ポリアセタール)</v>
      </c>
      <c r="O37" s="103" t="str">
        <f>IF(B5="English","PET (Poly ethylene terephthalate )",IF(B5="中国語","聚对苯二甲酸乙二醇酯 (PET)","PET(ポリエチレンテレフタレート)"))</f>
        <v>PET(ポリエチレンテレフタレート)</v>
      </c>
      <c r="P37" s="104"/>
      <c r="Q37" s="103"/>
      <c r="R37" s="103" t="str">
        <f>IF(B5="English","Paradium plating",IF(B5="中国語","镀钯","パラジウムめっき"))</f>
        <v>パラジウムめっき</v>
      </c>
      <c r="S37" s="103" t="str">
        <f>IF(B5="English","Corrosion protection of aluminium alloys",IF(B5="中国語","铝防腐蚀处理","アルミニウム防食処理"))</f>
        <v>アルミニウム防食処理</v>
      </c>
      <c r="T37" s="103" t="str">
        <f>IF(B5="English","Cermet thermal spraying C-WC-Co",IF(B5="中国語","碳化钨-钴喷镀","炭化タングステン・コバルト溶射"))</f>
        <v>炭化タングステン・コバルト溶射</v>
      </c>
      <c r="U37" s="104"/>
      <c r="V37" s="104"/>
      <c r="W37" s="104"/>
      <c r="X37" s="104"/>
    </row>
    <row r="38" spans="2:24" s="53" customFormat="1" ht="12" hidden="1" customHeight="1">
      <c r="B38" s="55" t="str">
        <f>IF(B5="English","Catalyst",IF(B5="中国語","催化","触媒"))</f>
        <v>触媒</v>
      </c>
      <c r="C38" s="55"/>
      <c r="D38" s="55"/>
      <c r="E38" s="55"/>
      <c r="F38" s="55"/>
      <c r="G38" s="55"/>
      <c r="H38" s="55"/>
      <c r="I38" s="55"/>
      <c r="J38" s="55"/>
      <c r="K38" s="55"/>
      <c r="L38" s="55"/>
      <c r="M38" s="103" t="str">
        <f>IF(B5="English","Wrought magnesium alloys",IF(B5="中国語","锻造镁合金","鍛造マグネシウム合金"))</f>
        <v>鍛造マグネシウム合金</v>
      </c>
      <c r="N38" s="103" t="str">
        <f>IF(B5="English","A(B)S Poly(acrylonitrile (-butadiene)-styrene)",IF(B5="中国語","丙烯腈丁二烯苯乙烯树脂 (ABS)","ABS"))</f>
        <v>ABS</v>
      </c>
      <c r="O38" s="103" t="str">
        <f>IF(B5="English","PPE ((Modified) polyphenylene ether)",IF(B5="中国語","聚苯醚 (PPE)","PPE"))</f>
        <v>PPE</v>
      </c>
      <c r="P38" s="104"/>
      <c r="Q38" s="103"/>
      <c r="R38" s="103" t="str">
        <f>IF(B5="English","Rhodium plating",IF(B5="中国語","镀铑","ロジウムめっき"))</f>
        <v>ロジウムめっき</v>
      </c>
      <c r="S38" s="103" t="str">
        <f>IF(B5="English","Black Oxide Coatings",IF(B5="中国語","发黑（四氧化三铁）处理","黒染め（四三酸化鉄）処理"))</f>
        <v>黒染め（四三酸化鉄）処理</v>
      </c>
      <c r="T38" s="103" t="str">
        <f>IF(B5="English","Cermet thermal spraying C-CrC-Ni-Cr",IF(B5="中国語","碳化铬-镍喷镀","炭化クロム・ニッケル溶射"))</f>
        <v>炭化クロム・ニッケル溶射</v>
      </c>
      <c r="U38" s="104"/>
      <c r="V38" s="104"/>
      <c r="W38" s="104"/>
      <c r="X38" s="104"/>
    </row>
    <row r="39" spans="2:24" s="53" customFormat="1" ht="12" hidden="1" customHeight="1">
      <c r="B39" s="55" t="str">
        <f>IF(B5="English","Solvent",IF(B5="中国語","溶剂","溶媒"))</f>
        <v>溶媒</v>
      </c>
      <c r="C39" s="55"/>
      <c r="D39" s="55"/>
      <c r="E39" s="55"/>
      <c r="F39" s="55"/>
      <c r="G39" s="55"/>
      <c r="H39" s="55"/>
      <c r="I39" s="55"/>
      <c r="J39" s="55"/>
      <c r="K39" s="55"/>
      <c r="L39" s="55"/>
      <c r="M39" s="103" t="str">
        <f>IF(B5="English","Copper (e.g. copper amounts in cable harnesses)",IF(B5="中国語","纯铜 (例：线缆的铜)","銅(例,ケーブルハーネスの銅)"))</f>
        <v>銅(例,ケーブルハーネスの銅)</v>
      </c>
      <c r="N39" s="103" t="str">
        <f>IF(B5="English","PA (Polyamide)",IF(B5="中国語","聚酰胺 (PA)","PA(ポリアミド)"))</f>
        <v>PA(ポリアミド)</v>
      </c>
      <c r="O39" s="103" t="str">
        <f>IF(B5="English","Thermoplastic elastomer",IF(B5="中国語","热塑性弹性体","熱可塑性エラストマ"))</f>
        <v>熱可塑性エラストマ</v>
      </c>
      <c r="P39" s="104"/>
      <c r="Q39" s="103"/>
      <c r="R39" s="103" t="str">
        <f>IF(B5="English","Silver plating",IF(B5="中国語","镀银","銀めっき"))</f>
        <v>銀めっき</v>
      </c>
      <c r="S39" s="103" t="str">
        <f>IF(B5="English","Phosphate Coatings",IF(B5="中国語","磷酸处理","リン酸処理"))</f>
        <v>リン酸処理</v>
      </c>
      <c r="T39" s="103"/>
      <c r="U39" s="104"/>
      <c r="V39" s="104"/>
      <c r="W39" s="104"/>
      <c r="X39" s="104"/>
    </row>
    <row r="40" spans="2:24" s="53" customFormat="1" ht="12" hidden="1" customHeight="1">
      <c r="B40" s="55" t="str">
        <f>IF(B5="English","Impurity",IF(B5="中国語","不纯物","不純物"))</f>
        <v>不純物</v>
      </c>
      <c r="C40" s="55"/>
      <c r="D40" s="55"/>
      <c r="E40" s="55"/>
      <c r="F40" s="55"/>
      <c r="G40" s="55"/>
      <c r="H40" s="55"/>
      <c r="I40" s="55"/>
      <c r="J40" s="55"/>
      <c r="K40" s="55"/>
      <c r="L40" s="55"/>
      <c r="M40" s="103" t="str">
        <f>IF(B5="English","Copper alloys",IF(B5="中国語","铜合金","銅合金"))</f>
        <v>銅合金</v>
      </c>
      <c r="N40" s="103" t="str">
        <f>IF(B5="English","PET (Poly ethylene terephthalate )",IF(B5="中国語","聚对苯二甲酸乙二醇酯 (PET)","PET(ポリエチレンテレフタレート)"))</f>
        <v>PET(ポリエチレンテレフタレート)</v>
      </c>
      <c r="O40" s="103" t="str">
        <f>IF(B5="English","Other thermoplastics",IF(B5="中国語","其他热塑性树脂","その他の熱可塑性樹脂"))</f>
        <v>その他の熱可塑性樹脂</v>
      </c>
      <c r="P40" s="104"/>
      <c r="Q40" s="103"/>
      <c r="R40" s="103" t="str">
        <f>IF(B5="English","Cadmium plating",IF(B5="中国語","镀镉","カドミウムめっき"))</f>
        <v>カドミウムめっき</v>
      </c>
      <c r="S40" s="103"/>
      <c r="T40" s="103"/>
      <c r="U40" s="104"/>
      <c r="V40" s="104"/>
      <c r="W40" s="104"/>
      <c r="X40" s="104"/>
    </row>
    <row r="41" spans="2:24" s="53" customFormat="1" ht="12" hidden="1" customHeight="1">
      <c r="B41" s="55" t="str">
        <f>IF(B5="English","Accelerator",IF(B5="中国語","催化剂","促進剤"))</f>
        <v>促進剤</v>
      </c>
      <c r="C41" s="55"/>
      <c r="D41" s="55"/>
      <c r="E41" s="55"/>
      <c r="F41" s="55"/>
      <c r="G41" s="55"/>
      <c r="H41" s="55"/>
      <c r="I41" s="55"/>
      <c r="J41" s="55"/>
      <c r="K41" s="55"/>
      <c r="L41" s="55"/>
      <c r="M41" s="103" t="str">
        <f>IF(B5="English","Zinc and Zinc alloys",IF(B5="中国語","锌合金","亜鉛合金"))</f>
        <v>亜鉛合金</v>
      </c>
      <c r="N41" s="103" t="str">
        <f>IF(B5="English","PPE ((Modified) polyphenylene ether)",IF(B5="中国語","聚苯醚 (PPE)","PPE"))</f>
        <v>PPE</v>
      </c>
      <c r="O41" s="103" t="str">
        <f>IF(B5="English","PUR (Polyurethane)",IF(B5="中国語","聚氨酯 (PUR)","ポリウレタン"))</f>
        <v>ポリウレタン</v>
      </c>
      <c r="P41" s="104"/>
      <c r="Q41" s="103"/>
      <c r="R41" s="103"/>
      <c r="S41" s="103"/>
      <c r="T41" s="103"/>
      <c r="U41" s="104"/>
      <c r="V41" s="104"/>
      <c r="W41" s="104"/>
      <c r="X41" s="104"/>
    </row>
    <row r="42" spans="2:24" s="53" customFormat="1" ht="12" hidden="1" customHeight="1">
      <c r="B42" s="55" t="str">
        <f>IF(B5="English","Filler",IF(B5="中国語","填料","充填剤"))</f>
        <v>充填剤</v>
      </c>
      <c r="C42" s="55"/>
      <c r="D42" s="55"/>
      <c r="E42" s="55"/>
      <c r="F42" s="55"/>
      <c r="G42" s="55"/>
      <c r="H42" s="55"/>
      <c r="I42" s="55"/>
      <c r="J42" s="55"/>
      <c r="K42" s="55"/>
      <c r="L42" s="55"/>
      <c r="M42" s="103" t="str">
        <f>IF(B5="English","Nickel and Nickel alloys",IF(B5="中国語","镍合金","ニッケル合金"))</f>
        <v>ニッケル合金</v>
      </c>
      <c r="N42" s="103" t="str">
        <f>IF(B5="English","Thermoplastic elastomer",IF(B5="中国語","热塑性弹性体","熱可塑性エラストマ"))</f>
        <v>熱可塑性エラストマ</v>
      </c>
      <c r="O42" s="103" t="str">
        <f>IF(B5="English","UP (Unsaturated polyester)",IF(B5="中国語","不饱和聚酯 (UP)","不飽和ポリエステル"))</f>
        <v>不飽和ポリエステル</v>
      </c>
      <c r="P42" s="104"/>
      <c r="Q42" s="103"/>
      <c r="R42" s="103"/>
      <c r="S42" s="103"/>
      <c r="T42" s="103"/>
      <c r="U42" s="104"/>
      <c r="V42" s="104"/>
      <c r="W42" s="104"/>
      <c r="X42" s="104"/>
    </row>
    <row r="43" spans="2:24" s="53" customFormat="1" ht="12" hidden="1" customHeight="1">
      <c r="B43" s="55" t="str">
        <f>IF(B5="English","MoldbLubricant",IF(B5="中国語","脱模剂","離型剤 "))</f>
        <v xml:space="preserve">離型剤 </v>
      </c>
      <c r="C43" s="55"/>
      <c r="D43" s="55"/>
      <c r="E43" s="55"/>
      <c r="F43" s="55"/>
      <c r="G43" s="55"/>
      <c r="H43" s="55"/>
      <c r="I43" s="55"/>
      <c r="J43" s="55"/>
      <c r="K43" s="55"/>
      <c r="L43" s="55"/>
      <c r="M43" s="103" t="str">
        <f>IF(B5="English","Lead and Lead alloys",IF(B5="中国語","铅,铅合金","鉛,鉛合金"))</f>
        <v>鉛,鉛合金</v>
      </c>
      <c r="N43" s="103" t="str">
        <f>IF(B5="English","Other thermoplastics",IF(B5="中国語","其他热塑性树脂","その他の熱可塑性樹脂"))</f>
        <v>その他の熱可塑性樹脂</v>
      </c>
      <c r="O43" s="103" t="str">
        <f>IF(B5="English","EP (Epoxy resin)",IF(B5="中国語","环氧树脂 (EP)","エポキシ樹脂"))</f>
        <v>エポキシ樹脂</v>
      </c>
      <c r="P43" s="104"/>
      <c r="Q43" s="103"/>
      <c r="R43" s="103"/>
      <c r="S43" s="103"/>
      <c r="T43" s="103"/>
      <c r="U43" s="104"/>
      <c r="V43" s="104"/>
      <c r="W43" s="104"/>
      <c r="X43" s="104"/>
    </row>
    <row r="44" spans="2:24" s="53" customFormat="1" ht="12" hidden="1" customHeight="1">
      <c r="B44" s="55" t="str">
        <f>IF(B5="English","Plasticizer",IF(B5="中国語","可塑剂","可塑剤"))</f>
        <v>可塑剤</v>
      </c>
      <c r="C44" s="55"/>
      <c r="D44" s="55"/>
      <c r="E44" s="55"/>
      <c r="F44" s="55"/>
      <c r="G44" s="55"/>
      <c r="H44" s="55"/>
      <c r="I44" s="55"/>
      <c r="J44" s="55"/>
      <c r="K44" s="55"/>
      <c r="L44" s="55"/>
      <c r="M44" s="103" t="str">
        <f>IF(B5="English","Sn-Pb solder",IF(B5="中国語","有铅焊锡","含鉛はんだ"))</f>
        <v>含鉛はんだ</v>
      </c>
      <c r="N44" s="103" t="str">
        <f>IF(B5="English","PUR (Polyurethane)",IF(B5="中国語","聚氨酯 (PUR)","ポリウレタン"))</f>
        <v>ポリウレタン</v>
      </c>
      <c r="O44" s="103" t="str">
        <f>IF(B5="English","Others (Cured resin or duromers)",IF(B5="中国語","其他固性树脂","その他の硬化性樹脂"))</f>
        <v>その他の硬化性樹脂</v>
      </c>
      <c r="P44" s="104"/>
      <c r="Q44" s="103"/>
      <c r="R44" s="103"/>
      <c r="S44" s="103"/>
      <c r="T44" s="103"/>
      <c r="U44" s="104"/>
      <c r="V44" s="104"/>
      <c r="W44" s="104"/>
      <c r="X44" s="104"/>
    </row>
    <row r="45" spans="2:24" s="53" customFormat="1" ht="12" hidden="1" customHeight="1">
      <c r="B45" s="55" t="str">
        <f>IF(B5="English","Reinforcement",IF(B5="中国語","强化剂","強化剤"))</f>
        <v>強化剤</v>
      </c>
      <c r="C45" s="55"/>
      <c r="D45" s="55"/>
      <c r="E45" s="55"/>
      <c r="F45" s="55"/>
      <c r="G45" s="55"/>
      <c r="H45" s="55"/>
      <c r="I45" s="55"/>
      <c r="J45" s="55"/>
      <c r="K45" s="55"/>
      <c r="L45" s="55"/>
      <c r="M45" s="103" t="str">
        <f>IF(B5="English","Lead-free solder",IF(B5="中国語","无铅焊锡","非鉛はんだ"))</f>
        <v>非鉛はんだ</v>
      </c>
      <c r="N45" s="103" t="str">
        <f>IF(B5="English","UP (Unsaturated polyester)",IF(B5="中国語","不饱和聚酯 (UP)","不飽和ポリエステル"))</f>
        <v>不飽和ポリエステル</v>
      </c>
      <c r="O45" s="103" t="str">
        <f>IF(B5="English","Others (Rubber/non-thermoplastic Elastomer)",IF(B5="中国語","其他橡胶（非热塑性）、弹性体","（熱可塑でない）エラストマー／エラストマー複合"))</f>
        <v>（熱可塑でない）エラストマー／エラストマー複合</v>
      </c>
      <c r="P45" s="104"/>
      <c r="Q45" s="103"/>
      <c r="R45" s="103"/>
      <c r="S45" s="103"/>
      <c r="T45" s="103"/>
      <c r="U45" s="104"/>
      <c r="V45" s="104"/>
      <c r="W45" s="104"/>
      <c r="X45" s="104"/>
    </row>
    <row r="46" spans="2:24" s="53" customFormat="1" ht="12" hidden="1" customHeight="1">
      <c r="B46" s="55" t="str">
        <f>IF(B5="English","Retarder",IF(B5="中国語","抑制剂","抑制剤"))</f>
        <v>抑制剤</v>
      </c>
      <c r="C46" s="55"/>
      <c r="D46" s="55"/>
      <c r="E46" s="55"/>
      <c r="F46" s="55"/>
      <c r="G46" s="55"/>
      <c r="H46" s="55"/>
      <c r="I46" s="55"/>
      <c r="J46" s="55"/>
      <c r="K46" s="55"/>
      <c r="L46" s="55"/>
      <c r="M46" s="103" t="str">
        <f>IF(B5="English","Gold",IF(B5="中国語","特殊金属 (金)","特殊金属(金）"))</f>
        <v>特殊金属(金）</v>
      </c>
      <c r="N46" s="103" t="str">
        <f>IF(B5="English","EP (Epoxy resin)",IF(B5="中国語","环氧树脂 (EP)","エポキシ樹脂"))</f>
        <v>エポキシ樹脂</v>
      </c>
      <c r="O46" s="103" t="str">
        <f>IF(B5="English","Polymeric compounds",IF(B5="中国語","高分子复合材料","高分子複合材"))</f>
        <v>高分子複合材</v>
      </c>
      <c r="P46" s="104"/>
      <c r="Q46" s="103"/>
      <c r="R46" s="103"/>
      <c r="S46" s="103"/>
      <c r="T46" s="103"/>
      <c r="U46" s="104"/>
      <c r="V46" s="104"/>
      <c r="W46" s="104"/>
      <c r="X46" s="104"/>
    </row>
    <row r="47" spans="2:24" s="53" customFormat="1" ht="12" hidden="1" customHeight="1">
      <c r="B47" s="55" t="str">
        <f>IF(B5="English","Stabiliser",IF(B5="中国語","稳定剂","安定剤"))</f>
        <v>安定剤</v>
      </c>
      <c r="C47" s="55"/>
      <c r="D47" s="55"/>
      <c r="E47" s="55"/>
      <c r="F47" s="55"/>
      <c r="G47" s="55"/>
      <c r="H47" s="55"/>
      <c r="I47" s="55"/>
      <c r="J47" s="55"/>
      <c r="K47" s="55"/>
      <c r="L47" s="55"/>
      <c r="M47" s="103" t="str">
        <f>IF(B5="English","Platinum / rhodium",IF(B5="中国語","特殊金属 (铂、铑)","特殊金属（白金、ロジウム）"))</f>
        <v>特殊金属（白金、ロジウム）</v>
      </c>
      <c r="N47" s="103" t="str">
        <f>IF(B5="English","Others (Cured resin or duromers)",IF(B5="中国語","其他固性树脂","その他の硬化性樹脂"))</f>
        <v>その他の硬化性樹脂</v>
      </c>
      <c r="O47" s="104" t="str">
        <f>IF(B5="English","Lubricants,Brake fluid, etc",IF(B5="中国語","液体(润滑剂、制动液等)","潤滑剤、ブレーキフルード、他"))</f>
        <v>潤滑剤、ブレーキフルード、他</v>
      </c>
      <c r="P47" s="104"/>
      <c r="Q47" s="103"/>
      <c r="R47" s="103"/>
      <c r="S47" s="103"/>
      <c r="T47" s="103"/>
      <c r="U47" s="104"/>
      <c r="V47" s="104"/>
      <c r="W47" s="104"/>
      <c r="X47" s="104"/>
    </row>
    <row r="48" spans="2:24" s="53" customFormat="1" ht="12" hidden="1" customHeight="1">
      <c r="B48" s="55" t="str">
        <f>IF(B5="English","Vulcanizing Agent",IF(B5="中国語","硫化剂","加硫剤"))</f>
        <v>加硫剤</v>
      </c>
      <c r="C48" s="55"/>
      <c r="D48" s="55"/>
      <c r="E48" s="55"/>
      <c r="F48" s="55"/>
      <c r="G48" s="55"/>
      <c r="H48" s="55"/>
      <c r="I48" s="55"/>
      <c r="J48" s="55"/>
      <c r="K48" s="55"/>
      <c r="L48" s="55"/>
      <c r="M48" s="103" t="str">
        <f>IF(B5="English","Other special metals",IF(B5="中国語","其他特殊金属(银、钯)","その他の特殊金属（銀、パラジウム等）"))</f>
        <v>その他の特殊金属（銀、パラジウム等）</v>
      </c>
      <c r="N48" s="103" t="str">
        <f>IF(B5="English","Others (Rubber/non-thermoplastic Elastomer)",IF(B5="中国語","其他橡胶（非热塑性）、弹性体","（熱可塑でない）エラストマー／エラストマー複合"))</f>
        <v>（熱可塑でない）エラストマー／エラストマー複合</v>
      </c>
      <c r="O48" s="104" t="str">
        <f>IF(B5="English","Others (Powder,etc)",IF(B5="中国語","其他材料（粉末等）","その他材料（粉体ほか）"))</f>
        <v>その他材料（粉体ほか）</v>
      </c>
      <c r="P48" s="104"/>
      <c r="Q48" s="103"/>
      <c r="R48" s="103"/>
      <c r="S48" s="103"/>
      <c r="T48" s="103"/>
      <c r="U48" s="104"/>
      <c r="V48" s="104"/>
      <c r="W48" s="104"/>
      <c r="X48" s="104"/>
    </row>
    <row r="49" spans="2:24" s="53" customFormat="1" ht="12" hidden="1" customHeight="1">
      <c r="B49" s="55" t="str">
        <f>IF(B5="English","Fixing Agent",IF(B5="中国語","黏着剂","固着剤"))</f>
        <v>固着剤</v>
      </c>
      <c r="C49" s="55"/>
      <c r="D49" s="55"/>
      <c r="E49" s="55"/>
      <c r="F49" s="55"/>
      <c r="G49" s="55"/>
      <c r="H49" s="55"/>
      <c r="I49" s="55"/>
      <c r="J49" s="55"/>
      <c r="K49" s="55"/>
      <c r="L49" s="55"/>
      <c r="M49" s="103" t="str">
        <f>IF(B5="English","Titanium and titanium alloys",IF(B5="中国語","钛,钛合金","チタン,チタン合金"))</f>
        <v>チタン,チタン合金</v>
      </c>
      <c r="N49" s="103" t="str">
        <f>IF(B5="English","Polymeric compounds",IF(B5="中国語","高分子复合材料","高分子複合材"))</f>
        <v>高分子複合材</v>
      </c>
      <c r="O49" s="103"/>
      <c r="P49" s="104"/>
      <c r="Q49" s="103"/>
      <c r="R49" s="103"/>
      <c r="S49" s="103"/>
      <c r="T49" s="103"/>
      <c r="U49" s="104"/>
      <c r="V49" s="104"/>
      <c r="W49" s="104"/>
      <c r="X49" s="104"/>
    </row>
    <row r="50" spans="2:24" s="53" customFormat="1" ht="12" hidden="1" customHeight="1">
      <c r="B50" s="55" t="str">
        <f>IF(B5="English","Hardening Agent",IF(B5="中国語","硬化剂","硬化剤"))</f>
        <v>硬化剤</v>
      </c>
      <c r="C50" s="55"/>
      <c r="D50" s="55"/>
      <c r="E50" s="55"/>
      <c r="F50" s="55"/>
      <c r="G50" s="55"/>
      <c r="H50" s="55"/>
      <c r="I50" s="55"/>
      <c r="J50" s="55"/>
      <c r="K50" s="55"/>
      <c r="L50" s="55"/>
      <c r="M50" s="103" t="str">
        <f>IF(B5="English","Other nonferrous metals",IF(B5="中国語","其他有色金属","その他の非鉄金属"))</f>
        <v>その他の非鉄金属</v>
      </c>
      <c r="N50" s="103" t="str">
        <f>IF(B5="English","Plastics (in polymeric compounds)",IF(B5="中国語","高分子复合材中所含树脂","高分子複合材に含まれる樹脂"))</f>
        <v>高分子複合材に含まれる樹脂</v>
      </c>
      <c r="O50" s="103"/>
      <c r="P50" s="104"/>
      <c r="Q50" s="103"/>
      <c r="R50" s="103"/>
      <c r="S50" s="103"/>
      <c r="T50" s="103"/>
      <c r="U50" s="104"/>
      <c r="V50" s="104"/>
      <c r="W50" s="104"/>
      <c r="X50" s="104"/>
    </row>
    <row r="51" spans="2:24" s="53" customFormat="1" ht="12" hidden="1" customHeight="1">
      <c r="B51" s="55" t="str">
        <f>IF(B5="English","Cross-Linking Agent",IF(B5="中国語","交联剂","架橋剤"))</f>
        <v>架橋剤</v>
      </c>
      <c r="C51" s="55"/>
      <c r="D51" s="55"/>
      <c r="E51" s="55"/>
      <c r="F51" s="55"/>
      <c r="G51" s="55"/>
      <c r="H51" s="55"/>
      <c r="I51" s="55"/>
      <c r="J51" s="55"/>
      <c r="K51" s="55"/>
      <c r="L51" s="55"/>
      <c r="M51" s="103" t="str">
        <f>IF(B5="English","Ceramics",IF(B5="中国語","陶瓷","セラミック"))</f>
        <v>セラミック</v>
      </c>
      <c r="N51" s="103" t="str">
        <f>IF(B5="English","Textiles (in polymeric compounds)",IF(B5="中国語","高分子复合材中所含纤维","高分子複合材に含まれる繊維"))</f>
        <v>高分子複合材に含まれる繊維</v>
      </c>
      <c r="O51" s="103"/>
      <c r="P51" s="104"/>
      <c r="Q51" s="103"/>
      <c r="R51" s="103"/>
      <c r="S51" s="103"/>
      <c r="T51" s="103"/>
      <c r="U51" s="104"/>
      <c r="V51" s="104"/>
      <c r="W51" s="104"/>
      <c r="X51" s="104"/>
    </row>
    <row r="52" spans="2:24" s="53" customFormat="1" ht="12" hidden="1" customHeight="1">
      <c r="B52" s="55" t="str">
        <f>IF(B5="English","Lubricant Agent",IF(B5="中国語","润滑剂","潤滑剤"))</f>
        <v>潤滑剤</v>
      </c>
      <c r="C52" s="55"/>
      <c r="D52" s="55"/>
      <c r="E52" s="55"/>
      <c r="F52" s="55"/>
      <c r="G52" s="55"/>
      <c r="H52" s="55"/>
      <c r="I52" s="55"/>
      <c r="J52" s="55"/>
      <c r="K52" s="55"/>
      <c r="L52" s="55"/>
      <c r="M52" s="103" t="str">
        <f>IF(B5="English","Glass",IF(B5="中国語","玻璃","ガラス"))</f>
        <v>ガラス</v>
      </c>
      <c r="N52" s="103"/>
      <c r="O52" s="103"/>
      <c r="P52" s="103"/>
      <c r="Q52" s="103"/>
      <c r="R52" s="103"/>
      <c r="S52" s="103"/>
      <c r="T52" s="103"/>
      <c r="U52" s="104"/>
      <c r="V52" s="104"/>
      <c r="W52" s="104"/>
      <c r="X52" s="104"/>
    </row>
    <row r="53" spans="2:24" s="53" customFormat="1" ht="12" hidden="1" customHeight="1">
      <c r="B53" s="55" t="str">
        <f>IF(B5="English","Coupling Agent",IF(B5="中国語","耦合剂","結合剤"))</f>
        <v>結合剤</v>
      </c>
      <c r="C53" s="55"/>
      <c r="D53" s="55"/>
      <c r="E53" s="55"/>
      <c r="F53" s="55"/>
      <c r="G53" s="55"/>
      <c r="H53" s="55"/>
      <c r="I53" s="55"/>
      <c r="J53" s="55"/>
      <c r="K53" s="55"/>
      <c r="L53" s="55"/>
      <c r="M53" s="103" t="str">
        <f>IF(B5="English","Other inorganic compounds",IF(B5="中国語","其它无机化合物","その他無機化合物"))</f>
        <v>その他無機化合物</v>
      </c>
      <c r="N53" s="103"/>
      <c r="O53" s="103"/>
      <c r="P53" s="103"/>
      <c r="Q53" s="103"/>
      <c r="R53" s="103"/>
      <c r="S53" s="103"/>
      <c r="T53" s="103"/>
      <c r="U53" s="104"/>
      <c r="V53" s="104"/>
      <c r="W53" s="104"/>
      <c r="X53" s="104"/>
    </row>
    <row r="54" spans="2:24" s="53" customFormat="1" ht="12" hidden="1" customHeight="1">
      <c r="B54" s="55" t="str">
        <f>IF(B5="English","Initiator",IF(B5="中国語","聚合引发剂","重合開始剤"))</f>
        <v>重合開始剤</v>
      </c>
      <c r="C54" s="55"/>
      <c r="D54" s="55"/>
      <c r="E54" s="55"/>
      <c r="F54" s="55"/>
      <c r="G54" s="55"/>
      <c r="H54" s="55"/>
      <c r="I54" s="55"/>
      <c r="J54" s="55"/>
      <c r="K54" s="55"/>
      <c r="L54" s="55"/>
      <c r="M54" s="103" t="str">
        <f>IF(B5="English","filled Thermoplastics",IF(B5="中国語","含有填料带（填料）的热可塑树脂","フィラー(充填材)を含有する熱可塑性樹脂"))</f>
        <v>フィラー(充填材)を含有する熱可塑性樹脂</v>
      </c>
      <c r="N54" s="103"/>
      <c r="O54" s="103"/>
      <c r="P54" s="103"/>
      <c r="Q54" s="103"/>
      <c r="R54" s="103"/>
      <c r="S54" s="103"/>
      <c r="T54" s="103"/>
      <c r="U54" s="104"/>
      <c r="V54" s="104"/>
      <c r="W54" s="104"/>
      <c r="X54" s="104"/>
    </row>
    <row r="55" spans="2:24" s="53" customFormat="1" ht="12" hidden="1" customHeight="1">
      <c r="B55" s="55" t="str">
        <f>IF(B5="English","Antistatic Agent",IF(B5="中国語","防静电剂","帯電防止剤"))</f>
        <v>帯電防止剤</v>
      </c>
      <c r="C55" s="55"/>
      <c r="D55" s="55"/>
      <c r="E55" s="55"/>
      <c r="F55" s="55"/>
      <c r="G55" s="55"/>
      <c r="H55" s="55"/>
      <c r="I55" s="55"/>
      <c r="J55" s="55"/>
      <c r="K55" s="55"/>
      <c r="L55" s="55"/>
      <c r="M55" s="103" t="str">
        <f>IF(B5="English","PE (Polyethylene)",IF(B5="中国語","聚乙烯(PE)","PE(ポリエチレン)"))</f>
        <v>PE(ポリエチレン)</v>
      </c>
      <c r="N55" s="103"/>
      <c r="O55" s="103"/>
      <c r="P55" s="103"/>
      <c r="Q55" s="103"/>
      <c r="R55" s="103"/>
      <c r="S55" s="103"/>
      <c r="T55" s="103"/>
      <c r="U55" s="104"/>
      <c r="V55" s="104"/>
      <c r="W55" s="104"/>
      <c r="X55" s="104"/>
    </row>
    <row r="56" spans="2:24" s="53" customFormat="1" ht="12" hidden="1" customHeight="1">
      <c r="B56" s="55" t="str">
        <f>IF(B5="English","Antioxidizing Agent",IF(B5="中国語","防氧化剂","酸化防止剤"))</f>
        <v>酸化防止剤</v>
      </c>
      <c r="C56" s="55"/>
      <c r="D56" s="55"/>
      <c r="E56" s="55"/>
      <c r="F56" s="55"/>
      <c r="G56" s="55"/>
      <c r="H56" s="55"/>
      <c r="I56" s="55"/>
      <c r="J56" s="55"/>
      <c r="K56" s="55"/>
      <c r="L56" s="55"/>
      <c r="M56" s="103" t="str">
        <f>IF(B5="English","PP(Polypropylene)",IF(B5="中国語","聚丙烯 (PP)","PP(ポリプロピレン) "))</f>
        <v xml:space="preserve">PP(ポリプロピレン) </v>
      </c>
      <c r="N56" s="103"/>
      <c r="O56" s="103"/>
      <c r="P56" s="103"/>
      <c r="Q56" s="103"/>
      <c r="R56" s="103"/>
      <c r="S56" s="103"/>
      <c r="T56" s="103"/>
      <c r="U56" s="104"/>
      <c r="V56" s="104"/>
      <c r="W56" s="104"/>
      <c r="X56" s="104"/>
    </row>
    <row r="57" spans="2:24" s="53" customFormat="1" ht="12" hidden="1" customHeight="1">
      <c r="B57" s="55" t="str">
        <f>IF(B5="English","Electric Characteristic Improvement",IF(B5="中国語","改善电气特性","電気特性向上"))</f>
        <v>電気特性向上</v>
      </c>
      <c r="C57" s="55"/>
      <c r="D57" s="55"/>
      <c r="E57" s="55"/>
      <c r="F57" s="55"/>
      <c r="G57" s="55"/>
      <c r="H57" s="55"/>
      <c r="I57" s="55"/>
      <c r="J57" s="55"/>
      <c r="K57" s="55"/>
      <c r="L57" s="55"/>
      <c r="M57" s="103" t="str">
        <f>IF(B5="English","PS (Polystyrene)",IF(B5="聚苯乙烯 (PS)","部位名","PS(ポリスチレン)"))</f>
        <v>PS(ポリスチレン)</v>
      </c>
      <c r="N57" s="103"/>
      <c r="O57" s="103"/>
      <c r="P57" s="103"/>
      <c r="Q57" s="103"/>
      <c r="R57" s="103"/>
      <c r="S57" s="103"/>
      <c r="T57" s="103"/>
      <c r="U57" s="104"/>
      <c r="V57" s="104"/>
      <c r="W57" s="104"/>
      <c r="X57" s="104"/>
    </row>
    <row r="58" spans="2:24" s="53" customFormat="1" ht="12" hidden="1" customHeight="1">
      <c r="B58" s="55" t="str">
        <f>IF(B5="English","Optical Characterist Improvement",IF(B5="中国語","改善光学特性","光学特性向上"))</f>
        <v>光学特性向上</v>
      </c>
      <c r="C58" s="55"/>
      <c r="D58" s="55"/>
      <c r="E58" s="55"/>
      <c r="F58" s="55"/>
      <c r="G58" s="55"/>
      <c r="H58" s="55"/>
      <c r="I58" s="55"/>
      <c r="J58" s="55"/>
      <c r="K58" s="55"/>
      <c r="L58" s="55"/>
      <c r="M58" s="103" t="str">
        <f>IF(B5="English","PVC (Poly vinyl chloride)",IF(B5="中国語","聚氯乙烯 (PVC)","PVC(ポリ塩化ビニル)"))</f>
        <v>PVC(ポリ塩化ビニル)</v>
      </c>
      <c r="N58" s="103"/>
      <c r="O58" s="103"/>
      <c r="P58" s="103"/>
      <c r="Q58" s="103"/>
      <c r="R58" s="103"/>
      <c r="S58" s="103"/>
      <c r="T58" s="103"/>
      <c r="U58" s="104"/>
      <c r="V58" s="104"/>
      <c r="W58" s="104"/>
      <c r="X58" s="104"/>
    </row>
    <row r="59" spans="2:24" s="53" customFormat="1" ht="12" hidden="1" customHeight="1">
      <c r="B59" s="55" t="str">
        <f>IF(B5="English","Mechanical Characteristic Improvement",IF(B5="中国語","盖上机械特性","機械特性向上"))</f>
        <v>機械特性向上</v>
      </c>
      <c r="C59" s="55"/>
      <c r="D59" s="55"/>
      <c r="E59" s="55"/>
      <c r="F59" s="55"/>
      <c r="G59" s="55"/>
      <c r="H59" s="55"/>
      <c r="I59" s="55"/>
      <c r="J59" s="55"/>
      <c r="K59" s="55"/>
      <c r="L59" s="55"/>
      <c r="M59" s="103" t="str">
        <f>IF(B5="English","PC (Polycarbonate)",IF(B5="中国語","聚碳酸酯 (PC)","PC(ポリカーボネート)"))</f>
        <v>PC(ポリカーボネート)</v>
      </c>
      <c r="N59" s="103"/>
      <c r="O59" s="103"/>
      <c r="P59" s="103"/>
      <c r="Q59" s="103"/>
      <c r="R59" s="103"/>
      <c r="S59" s="103"/>
      <c r="T59" s="103"/>
      <c r="U59" s="104"/>
      <c r="V59" s="104"/>
      <c r="W59" s="104"/>
      <c r="X59" s="104"/>
    </row>
    <row r="60" spans="2:24" s="53" customFormat="1" ht="12" hidden="1" customHeight="1">
      <c r="B60" s="55" t="str">
        <f>IF(B5="English","Flame Resistance Improvement",IF(B5="中国語","改善阻燃性","難燃性向上"))</f>
        <v>難燃性向上</v>
      </c>
      <c r="C60" s="55"/>
      <c r="D60" s="55"/>
      <c r="E60" s="55"/>
      <c r="F60" s="55"/>
      <c r="G60" s="55"/>
      <c r="H60" s="55"/>
      <c r="I60" s="55"/>
      <c r="J60" s="55"/>
      <c r="K60" s="55"/>
      <c r="L60" s="55"/>
      <c r="M60" s="103" t="str">
        <f>IF(B5="English","POM (Polyacetal)",IF(B5="中国語","聚缩醛 (POM)","POM(ポリアセタール)"))</f>
        <v>POM(ポリアセタール)</v>
      </c>
      <c r="N60" s="103"/>
      <c r="O60" s="103"/>
      <c r="P60" s="103"/>
      <c r="Q60" s="103"/>
      <c r="R60" s="103"/>
      <c r="S60" s="103"/>
      <c r="T60" s="103"/>
      <c r="U60" s="104"/>
      <c r="V60" s="104"/>
      <c r="W60" s="104"/>
      <c r="X60" s="104"/>
    </row>
    <row r="61" spans="2:24" s="53" customFormat="1" ht="12" hidden="1" customHeight="1">
      <c r="B61" s="55" t="str">
        <f>IF(B5="English","Thermal Stability",IF(B5="中国語","改善热稳定性","熱安定性向上"))</f>
        <v>熱安定性向上</v>
      </c>
      <c r="C61" s="55"/>
      <c r="D61" s="55"/>
      <c r="E61" s="55"/>
      <c r="F61" s="55"/>
      <c r="G61" s="55"/>
      <c r="H61" s="55"/>
      <c r="I61" s="55"/>
      <c r="J61" s="55"/>
      <c r="K61" s="55"/>
      <c r="L61" s="55"/>
      <c r="M61" s="103" t="str">
        <f>IF(B5="English","A(B)S Poly(acrylonitrile (-butadiene)-styrene)",IF(B5="中国語","丙烯腈丁二烯苯乙烯树脂 (ABS)","ABS"))</f>
        <v>ABS</v>
      </c>
      <c r="N61" s="103"/>
      <c r="O61" s="103"/>
      <c r="P61" s="103"/>
      <c r="Q61" s="103"/>
      <c r="R61" s="103"/>
      <c r="S61" s="103"/>
      <c r="T61" s="103"/>
      <c r="U61" s="104"/>
      <c r="V61" s="104"/>
      <c r="W61" s="104"/>
      <c r="X61" s="104"/>
    </row>
    <row r="62" spans="2:24" s="53" customFormat="1" ht="12" hidden="1" customHeight="1">
      <c r="B62" s="55" t="str">
        <f>IF(B5="English","Machining Improvement",IF(B5="中国語","改善加工性","加工性向上"))</f>
        <v>加工性向上</v>
      </c>
      <c r="C62" s="55"/>
      <c r="D62" s="55"/>
      <c r="E62" s="55"/>
      <c r="F62" s="55"/>
      <c r="G62" s="55"/>
      <c r="H62" s="55"/>
      <c r="I62" s="55"/>
      <c r="J62" s="55"/>
      <c r="K62" s="55"/>
      <c r="L62" s="55"/>
      <c r="M62" s="103" t="str">
        <f>IF(B5="English","PA (Polyamide)",IF(B5="中国語","聚酰胺 (PA)","PA(ポリアミド)"))</f>
        <v>PA(ポリアミド)</v>
      </c>
      <c r="N62" s="103"/>
      <c r="O62" s="103"/>
      <c r="P62" s="103"/>
      <c r="Q62" s="103"/>
      <c r="R62" s="103"/>
      <c r="S62" s="103"/>
      <c r="T62" s="103"/>
      <c r="U62" s="104"/>
      <c r="V62" s="104"/>
      <c r="W62" s="104"/>
      <c r="X62" s="104"/>
    </row>
    <row r="63" spans="2:24" s="53" customFormat="1" ht="12" hidden="1" customHeight="1">
      <c r="B63" s="55" t="str">
        <f>IF(B5="English","Corrosion Resistance Improvement",IF(B5="中国語","改善防锈性","防錆性向上"))</f>
        <v>防錆性向上</v>
      </c>
      <c r="C63" s="55"/>
      <c r="D63" s="55"/>
      <c r="E63" s="55"/>
      <c r="F63" s="55"/>
      <c r="G63" s="55"/>
      <c r="H63" s="55"/>
      <c r="I63" s="55"/>
      <c r="J63" s="55"/>
      <c r="K63" s="55"/>
      <c r="L63" s="55"/>
      <c r="M63" s="103" t="str">
        <f>IF(B5="English","PET (Poly ethylene terephthalate )",IF(B5="中国語","聚对苯二甲酸乙二醇酯 (PET)","PET(ポリエチレンテレフタレート)"))</f>
        <v>PET(ポリエチレンテレフタレート)</v>
      </c>
      <c r="N63" s="103"/>
      <c r="O63" s="103"/>
      <c r="P63" s="103"/>
      <c r="Q63" s="103"/>
      <c r="R63" s="103"/>
      <c r="S63" s="103"/>
      <c r="T63" s="103"/>
      <c r="U63" s="104"/>
      <c r="V63" s="104"/>
      <c r="W63" s="104"/>
      <c r="X63" s="104"/>
    </row>
    <row r="64" spans="2:24" s="53" customFormat="1" ht="12" hidden="1" customHeight="1">
      <c r="B64" s="55" t="str">
        <f>IF(B5="English","Moistureproof Improvement",IF(B5="中国語","改善防湿性","防湿性向上"))</f>
        <v>防湿性向上</v>
      </c>
      <c r="C64" s="55"/>
      <c r="D64" s="55"/>
      <c r="E64" s="55"/>
      <c r="F64" s="55"/>
      <c r="G64" s="55"/>
      <c r="H64" s="55"/>
      <c r="I64" s="55"/>
      <c r="J64" s="55"/>
      <c r="K64" s="55"/>
      <c r="L64" s="55"/>
      <c r="M64" s="103" t="str">
        <f>IF(B5="English","PPE ((Modified) polyphenylene ether)",IF(B5="中国語","聚苯醚 (PPE)","PPE"))</f>
        <v>PPE</v>
      </c>
      <c r="N64" s="103"/>
      <c r="O64" s="103"/>
      <c r="P64" s="103"/>
      <c r="Q64" s="103"/>
      <c r="R64" s="103"/>
      <c r="S64" s="103"/>
      <c r="T64" s="103"/>
      <c r="U64" s="104"/>
      <c r="V64" s="104"/>
      <c r="W64" s="104"/>
      <c r="X64" s="104"/>
    </row>
    <row r="65" spans="1:24" s="53" customFormat="1" ht="12" hidden="1" customHeight="1">
      <c r="B65" s="55" t="str">
        <f>IF(B5="English","Insulation Improvement",IF(B5="中国語","改善绝缘性","絶縁性向上"))</f>
        <v>絶縁性向上</v>
      </c>
      <c r="C65" s="55"/>
      <c r="D65" s="55"/>
      <c r="E65" s="55"/>
      <c r="F65" s="55"/>
      <c r="G65" s="55"/>
      <c r="H65" s="55"/>
      <c r="I65" s="55"/>
      <c r="J65" s="55"/>
      <c r="K65" s="55"/>
      <c r="L65" s="55"/>
      <c r="M65" s="103" t="str">
        <f>IF(B5="English","Thermoplastic elastomer",IF(B5="中国語","热塑性弹性体","熱可塑性エラストマ"))</f>
        <v>熱可塑性エラストマ</v>
      </c>
      <c r="N65" s="103"/>
      <c r="O65" s="103"/>
      <c r="P65" s="103"/>
      <c r="Q65" s="103"/>
      <c r="R65" s="103"/>
      <c r="S65" s="103"/>
      <c r="T65" s="103"/>
      <c r="U65" s="104"/>
      <c r="V65" s="104"/>
      <c r="W65" s="104"/>
      <c r="X65" s="104"/>
    </row>
    <row r="66" spans="1:24" s="53" customFormat="1" ht="12" hidden="1" customHeight="1">
      <c r="B66" s="55" t="str">
        <f>IF(B5="English","Conduction Improvement",IF(B5="中国語","改善导电性","導電性向上"))</f>
        <v>導電性向上</v>
      </c>
      <c r="C66" s="55"/>
      <c r="D66" s="55"/>
      <c r="E66" s="55"/>
      <c r="F66" s="55"/>
      <c r="G66" s="55"/>
      <c r="H66" s="55"/>
      <c r="I66" s="55"/>
      <c r="J66" s="55"/>
      <c r="K66" s="55"/>
      <c r="L66" s="55"/>
      <c r="M66" s="103" t="str">
        <f>IF(B5="English","Other thermoplastics",IF(B5="中国語","其他热塑性树脂","その他の熱可塑性樹脂"))</f>
        <v>その他の熱可塑性樹脂</v>
      </c>
      <c r="N66" s="103"/>
      <c r="O66" s="103"/>
      <c r="P66" s="103"/>
      <c r="Q66" s="103"/>
      <c r="R66" s="103"/>
      <c r="S66" s="103"/>
      <c r="T66" s="103"/>
      <c r="U66" s="104"/>
      <c r="V66" s="104"/>
      <c r="W66" s="104"/>
      <c r="X66" s="104"/>
    </row>
    <row r="67" spans="1:24" s="53" customFormat="1" ht="12" hidden="1" customHeight="1">
      <c r="B67" s="55" t="str">
        <f>IF(B5="English","Decay Resistance Improvement",IF(B5="中国語","改善耐用性","耐久性向上"))</f>
        <v>耐久性向上</v>
      </c>
      <c r="C67" s="55"/>
      <c r="D67" s="55"/>
      <c r="E67" s="55"/>
      <c r="F67" s="55"/>
      <c r="G67" s="55"/>
      <c r="H67" s="55"/>
      <c r="I67" s="55"/>
      <c r="J67" s="55"/>
      <c r="K67" s="55"/>
      <c r="L67" s="55"/>
      <c r="M67" s="103" t="str">
        <f>IF(B5="English","PUR (Polyurethane)",IF(B5="中国語","聚氨酯 (PUR)","ポリウレタン"))</f>
        <v>ポリウレタン</v>
      </c>
      <c r="N67" s="103"/>
      <c r="O67" s="103"/>
      <c r="P67" s="103"/>
      <c r="Q67" s="103"/>
      <c r="R67" s="103"/>
      <c r="S67" s="103"/>
      <c r="T67" s="103"/>
      <c r="U67" s="104"/>
      <c r="V67" s="104"/>
      <c r="W67" s="104"/>
      <c r="X67" s="104"/>
    </row>
    <row r="68" spans="1:24" s="53" customFormat="1" ht="12" hidden="1" customHeight="1">
      <c r="B68" s="55" t="str">
        <f>IF(B5="English","Oil Resistance Improvement",IF(B5="中国語","改善耐油性","耐油性向上"))</f>
        <v>耐油性向上</v>
      </c>
      <c r="C68" s="55"/>
      <c r="D68" s="55"/>
      <c r="E68" s="55"/>
      <c r="F68" s="55"/>
      <c r="G68" s="55"/>
      <c r="H68" s="55"/>
      <c r="I68" s="55"/>
      <c r="J68" s="55"/>
      <c r="K68" s="55"/>
      <c r="L68" s="55"/>
      <c r="M68" s="103" t="str">
        <f>IF(B5="English","UP (Unsaturated polyester)",IF(B5="中国語","不饱和聚酯 (UP)","不飽和ポリエステル"))</f>
        <v>不飽和ポリエステル</v>
      </c>
      <c r="N68" s="103"/>
      <c r="O68" s="103"/>
      <c r="P68" s="103"/>
      <c r="Q68" s="103"/>
      <c r="R68" s="103"/>
      <c r="S68" s="103"/>
      <c r="T68" s="103"/>
      <c r="U68" s="104"/>
      <c r="V68" s="104"/>
      <c r="W68" s="104"/>
      <c r="X68" s="104"/>
    </row>
    <row r="69" spans="1:24" s="53" customFormat="1" ht="12" hidden="1" customHeight="1">
      <c r="B69" s="55" t="str">
        <f>IF(B5="English","Burning Resistance Improvement",IF(B5="中国語","改善耐热性","耐熱性向上"))</f>
        <v>耐熱性向上</v>
      </c>
      <c r="C69" s="55"/>
      <c r="D69" s="55"/>
      <c r="E69" s="55"/>
      <c r="F69" s="55"/>
      <c r="G69" s="55"/>
      <c r="H69" s="55"/>
      <c r="I69" s="55"/>
      <c r="J69" s="55"/>
      <c r="K69" s="55"/>
      <c r="L69" s="55"/>
      <c r="M69" s="103" t="str">
        <f>IF(B5="English","EP (Epoxy resin)",IF(B5="中国語","环氧树脂 (EP)","エポキシ樹脂"))</f>
        <v>エポキシ樹脂</v>
      </c>
      <c r="N69" s="103"/>
      <c r="O69" s="103"/>
      <c r="P69" s="103"/>
      <c r="Q69" s="103"/>
      <c r="R69" s="103"/>
      <c r="S69" s="103"/>
      <c r="T69" s="103"/>
      <c r="U69" s="104"/>
      <c r="V69" s="104"/>
      <c r="W69" s="104"/>
      <c r="X69" s="104"/>
    </row>
    <row r="70" spans="1:24" s="53" customFormat="1" ht="12" hidden="1" customHeight="1">
      <c r="B70" s="55" t="str">
        <f>IF(B5="English","Waterproof Improvement",IF(B5="中国語","改善耐水性","耐水性向上"))</f>
        <v>耐水性向上</v>
      </c>
      <c r="C70" s="55"/>
      <c r="D70" s="55"/>
      <c r="E70" s="55"/>
      <c r="F70" s="55"/>
      <c r="G70" s="55"/>
      <c r="H70" s="55"/>
      <c r="I70" s="55"/>
      <c r="J70" s="55"/>
      <c r="K70" s="55"/>
      <c r="L70" s="55"/>
      <c r="M70" s="103" t="str">
        <f>IF(B5="English","Others (Cured resin or duromers)",IF(B5="中国語","其他固性树脂","その他の硬化性樹脂"))</f>
        <v>その他の硬化性樹脂</v>
      </c>
      <c r="N70" s="103"/>
      <c r="O70" s="103"/>
      <c r="P70" s="103"/>
      <c r="Q70" s="103"/>
      <c r="R70" s="103"/>
      <c r="S70" s="103"/>
      <c r="T70" s="103"/>
      <c r="U70" s="104"/>
      <c r="V70" s="104"/>
      <c r="W70" s="104"/>
      <c r="X70" s="104"/>
    </row>
    <row r="71" spans="1:24" s="53" customFormat="1" ht="12" hidden="1" customHeight="1">
      <c r="B71" s="55" t="str">
        <f>IF(B5="English","Corporate Secret",IF(B5="中国語","企业秘密","企業秘密"))</f>
        <v>企業秘密</v>
      </c>
      <c r="C71" s="55"/>
      <c r="D71" s="55"/>
      <c r="E71" s="55"/>
      <c r="F71" s="55"/>
      <c r="G71" s="55"/>
      <c r="H71" s="55"/>
      <c r="I71" s="55"/>
      <c r="J71" s="55"/>
      <c r="K71" s="55"/>
      <c r="L71" s="55"/>
      <c r="M71" s="103" t="str">
        <f>IF(B5="English","Others (Rubber/non-thermoplastic Elastomer)",IF(B5="中国語","其他橡胶（非热塑性）、弹性体","（熱可塑でない）エラストマー／エラストマー複合"))</f>
        <v>（熱可塑でない）エラストマー／エラストマー複合</v>
      </c>
      <c r="N71" s="103"/>
      <c r="O71" s="103"/>
      <c r="P71" s="103"/>
      <c r="Q71" s="103"/>
      <c r="R71" s="103"/>
      <c r="S71" s="103"/>
      <c r="T71" s="103"/>
      <c r="U71" s="104"/>
      <c r="V71" s="104"/>
      <c r="W71" s="104"/>
      <c r="X71" s="104"/>
    </row>
    <row r="72" spans="1:24" s="53" customFormat="1" ht="12" hidden="1" customHeight="1">
      <c r="B72" s="55" t="str">
        <f>IF(B5="English","Others",IF(B5="中国語","不符合","該当無し"))</f>
        <v>該当無し</v>
      </c>
      <c r="C72" s="55"/>
      <c r="D72" s="55"/>
      <c r="E72" s="55"/>
      <c r="F72" s="55"/>
      <c r="G72" s="55"/>
      <c r="H72" s="55"/>
      <c r="I72" s="55"/>
      <c r="J72" s="55"/>
      <c r="K72" s="55"/>
      <c r="L72" s="55"/>
      <c r="M72" s="103" t="str">
        <f>IF(B5="English","Polymeric compounds",IF(B5="中国語","高分子复合材料","高分子複合材"))</f>
        <v>高分子複合材</v>
      </c>
      <c r="N72" s="103"/>
      <c r="O72" s="103"/>
      <c r="P72" s="103"/>
      <c r="Q72" s="103"/>
      <c r="R72" s="103"/>
      <c r="S72" s="103"/>
      <c r="T72" s="103"/>
      <c r="U72" s="104"/>
      <c r="V72" s="104"/>
      <c r="W72" s="104"/>
      <c r="X72" s="104"/>
    </row>
    <row r="73" spans="1:24" s="53" customFormat="1" ht="12" hidden="1" customHeight="1">
      <c r="B73" s="55"/>
      <c r="C73" s="55"/>
      <c r="D73" s="55"/>
      <c r="E73" s="55"/>
      <c r="F73" s="55"/>
      <c r="G73" s="55"/>
      <c r="H73" s="55"/>
      <c r="I73" s="55"/>
      <c r="J73" s="55"/>
      <c r="K73" s="55"/>
      <c r="L73" s="55"/>
      <c r="M73" s="103" t="str">
        <f>IF(B5="English","Plastics (in polymeric compounds)",IF(B5="中国語","高分子复合材中所含树脂","高分子複合材に含まれる樹脂"))</f>
        <v>高分子複合材に含まれる樹脂</v>
      </c>
      <c r="N73" s="103"/>
      <c r="O73" s="103"/>
      <c r="P73" s="103"/>
      <c r="Q73" s="103"/>
      <c r="R73" s="103"/>
      <c r="S73" s="103"/>
      <c r="T73" s="103"/>
      <c r="U73" s="104"/>
      <c r="V73" s="104"/>
      <c r="W73" s="104"/>
      <c r="X73" s="104"/>
    </row>
    <row r="74" spans="1:24" s="53" customFormat="1" ht="12" hidden="1" customHeight="1">
      <c r="B74" s="55"/>
      <c r="C74" s="55"/>
      <c r="D74" s="55"/>
      <c r="E74" s="55"/>
      <c r="F74" s="55"/>
      <c r="G74" s="55"/>
      <c r="H74" s="55"/>
      <c r="I74" s="55"/>
      <c r="J74" s="55"/>
      <c r="K74" s="55"/>
      <c r="L74" s="55"/>
      <c r="M74" s="103" t="str">
        <f>IF(B5="English","Textiles (in polymeric compounds)",IF(B5="中国語","高分子复合材中所含纤维","高分子複合材に含まれる繊維"))</f>
        <v>高分子複合材に含まれる繊維</v>
      </c>
      <c r="N74" s="103"/>
      <c r="O74" s="103"/>
      <c r="P74" s="103"/>
      <c r="Q74" s="103"/>
      <c r="R74" s="103"/>
      <c r="S74" s="103"/>
      <c r="T74" s="103"/>
      <c r="U74" s="104"/>
      <c r="V74" s="104"/>
      <c r="W74" s="104"/>
      <c r="X74" s="104"/>
    </row>
    <row r="75" spans="1:24" s="53" customFormat="1" ht="12" hidden="1" customHeight="1">
      <c r="B75" s="55"/>
      <c r="C75" s="55"/>
      <c r="D75" s="55"/>
      <c r="E75" s="55"/>
      <c r="F75" s="55"/>
      <c r="G75" s="55"/>
      <c r="H75" s="55"/>
      <c r="I75" s="55"/>
      <c r="J75" s="55"/>
      <c r="K75" s="55"/>
      <c r="L75" s="55"/>
      <c r="M75" s="103" t="str">
        <f>IF(B5="English","Wood",IF(B5="中国語","木材","木材"))</f>
        <v>木材</v>
      </c>
      <c r="N75" s="103"/>
      <c r="O75" s="103"/>
      <c r="P75" s="103"/>
      <c r="Q75" s="103"/>
      <c r="R75" s="103"/>
      <c r="S75" s="103"/>
      <c r="T75" s="103"/>
      <c r="U75" s="104"/>
      <c r="V75" s="104"/>
      <c r="W75" s="104"/>
      <c r="X75" s="104"/>
    </row>
    <row r="76" spans="1:24" s="53" customFormat="1" ht="12" hidden="1" customHeight="1">
      <c r="B76" s="55"/>
      <c r="C76" s="55"/>
      <c r="D76" s="55"/>
      <c r="E76" s="55"/>
      <c r="F76" s="55"/>
      <c r="G76" s="55"/>
      <c r="H76" s="55"/>
      <c r="I76" s="55"/>
      <c r="J76" s="55"/>
      <c r="K76" s="55"/>
      <c r="L76" s="55"/>
      <c r="M76" s="103" t="str">
        <f>IF(B5="English","Paper",IF(B5="纸","部位名","紙"))</f>
        <v>紙</v>
      </c>
      <c r="N76" s="103"/>
      <c r="O76" s="103"/>
      <c r="P76" s="103"/>
      <c r="Q76" s="103"/>
      <c r="R76" s="103"/>
      <c r="S76" s="103"/>
      <c r="T76" s="103"/>
      <c r="U76" s="104"/>
      <c r="V76" s="104"/>
      <c r="W76" s="104"/>
      <c r="X76" s="104"/>
    </row>
    <row r="77" spans="1:24" s="53" customFormat="1" ht="12" hidden="1" customHeight="1">
      <c r="B77" s="55"/>
      <c r="C77" s="55"/>
      <c r="D77" s="55"/>
      <c r="E77" s="55"/>
      <c r="F77" s="55"/>
      <c r="G77" s="55"/>
      <c r="H77" s="55"/>
      <c r="I77" s="55"/>
      <c r="J77" s="55"/>
      <c r="K77" s="55"/>
      <c r="L77" s="55"/>
      <c r="M77" s="103" t="str">
        <f>IF(B5="English","Fiber",IF(B5="中国語","纤维","繊維"))</f>
        <v>繊維</v>
      </c>
      <c r="N77" s="103"/>
      <c r="O77" s="103"/>
      <c r="P77" s="103"/>
      <c r="Q77" s="103"/>
      <c r="R77" s="103"/>
      <c r="S77" s="103"/>
      <c r="T77" s="103"/>
      <c r="U77" s="104"/>
      <c r="V77" s="104"/>
      <c r="W77" s="104"/>
      <c r="X77" s="104"/>
    </row>
    <row r="78" spans="1:24" s="53" customFormat="1" ht="12" hidden="1" customHeight="1">
      <c r="B78" s="55"/>
      <c r="C78" s="55"/>
      <c r="D78" s="55"/>
      <c r="E78" s="55"/>
      <c r="F78" s="55"/>
      <c r="G78" s="55"/>
      <c r="H78" s="55"/>
      <c r="I78" s="55"/>
      <c r="J78" s="55"/>
      <c r="K78" s="55"/>
      <c r="L78" s="55"/>
      <c r="M78" s="103" t="str">
        <f>IF(B5="English","Leather",IF(B5="中国語","皮革","皮革"))</f>
        <v>皮革</v>
      </c>
      <c r="N78" s="103"/>
      <c r="O78" s="103"/>
      <c r="P78" s="103"/>
      <c r="Q78" s="103"/>
      <c r="R78" s="103"/>
      <c r="S78" s="103"/>
      <c r="T78" s="103"/>
      <c r="U78" s="104"/>
      <c r="V78" s="104"/>
      <c r="W78" s="104"/>
      <c r="X78" s="104"/>
    </row>
    <row r="79" spans="1:24" ht="10.199999999999999" customHeight="1">
      <c r="A79" s="47"/>
      <c r="B79" s="56"/>
      <c r="C79" s="56"/>
      <c r="D79" s="47"/>
      <c r="E79" s="47"/>
      <c r="F79" s="47"/>
      <c r="G79" s="47"/>
      <c r="H79" s="51"/>
      <c r="I79" s="52"/>
      <c r="J79" s="52"/>
      <c r="K79" s="52"/>
      <c r="L79" s="52"/>
    </row>
    <row r="80" spans="1:24" s="57" customFormat="1" ht="25.5" customHeight="1">
      <c r="A80" s="348" t="s">
        <v>3</v>
      </c>
      <c r="B80" s="350" t="str">
        <f>IF(B5="English","Component Name",IF(B5="中国語","部品名","部品名"))</f>
        <v>部品名</v>
      </c>
      <c r="C80" s="101" t="str">
        <f>IF(B5="English","Quantity",IF(B5="中国語","数量","数"))</f>
        <v>数</v>
      </c>
      <c r="D80" s="340" t="str">
        <f>IF(B5="English","Region Name",IF(B5="中国語","部位名","部位名"))</f>
        <v>部位名</v>
      </c>
      <c r="E80" s="352" t="str">
        <f>IF(B5="English","Material Name",IF(B5="中国語","材料名","材料名"))</f>
        <v>材料名</v>
      </c>
      <c r="F80" s="353"/>
      <c r="G80" s="354"/>
      <c r="H80" s="340" t="str">
        <f>IF(B5="English","Supplier of raw materia",IF(B5="中国語","材料制造商","材料メーカー"))</f>
        <v>材料メーカー</v>
      </c>
      <c r="I80" s="340" t="str">
        <f>IF(B5="English","Model(Type)",IF(C5="中国語"," 型式（Type）","型式（Type）"))</f>
        <v>型式（Type）</v>
      </c>
      <c r="J80" s="342" t="str">
        <f>IF(B5="English","Region Mass",IF(B5="中国語","部位的
质量","部位質量"))</f>
        <v>部位質量</v>
      </c>
      <c r="K80" s="343"/>
      <c r="L80" s="344"/>
      <c r="M80" s="100" t="str">
        <f>IF(B5="English","Total Region Mass",IF(B5="中国語","総部位的
质量","総部位
質量"))</f>
        <v>総部位
質量</v>
      </c>
      <c r="N80" s="345" t="str">
        <f>IF(B5="English","Substance Name",IF(B5="中国語","物质名称","物質名"))</f>
        <v>物質名</v>
      </c>
      <c r="O80" s="345" t="str">
        <f>IF(B5="English","CAS/No.",IF(B5="中国語","CAS番号","CAS番号"))</f>
        <v>CAS番号</v>
      </c>
      <c r="P80" s="345" t="str">
        <f>IF(B5="English","Concentration(wt%)",IF(B5="中国語","含有率(wt%)","含有率(wt%)"))</f>
        <v>含有率(wt%)</v>
      </c>
      <c r="Q80" s="110" t="str">
        <f>IF(B5="English","Substance Mass",IF(B5="中国語","物质的
质量","物質質量"))</f>
        <v>物質質量</v>
      </c>
      <c r="R80" s="345" t="str">
        <f>IF(B5="English","Cause of Use",IF(B5="中国語","使用目的
・用途","使用目的
・用途"))</f>
        <v>使用目的
・用途</v>
      </c>
      <c r="S80" s="334" t="str">
        <f>IF(B5="English","RoHS directive exemption No.",IF(B5="中国語","RoHS指令
适用除外No.","RoHS指令
適用除外.No."))</f>
        <v>RoHS指令
適用除外.No.</v>
      </c>
      <c r="T80" s="336" t="str">
        <f>IF(B5="English","Intentional or Impurity,
Note",IF(B5="中国語","有意/杂质, 
备注","意図的/不純物, 
備考"))</f>
        <v>意図的/不純物, 
備考</v>
      </c>
    </row>
    <row r="81" spans="1:23" s="57" customFormat="1" ht="18.75" customHeight="1">
      <c r="A81" s="349"/>
      <c r="B81" s="341"/>
      <c r="C81" s="107" t="str">
        <f>G24</f>
        <v>pcs</v>
      </c>
      <c r="D81" s="351"/>
      <c r="E81" s="355"/>
      <c r="F81" s="356"/>
      <c r="G81" s="357"/>
      <c r="H81" s="341"/>
      <c r="I81" s="341"/>
      <c r="J81" s="58" t="str">
        <f>E24</f>
        <v>g</v>
      </c>
      <c r="K81" s="59" t="s">
        <v>20</v>
      </c>
      <c r="L81" s="60" t="str">
        <f>G24</f>
        <v>pcs</v>
      </c>
      <c r="M81" s="61" t="str">
        <f>E24</f>
        <v>g</v>
      </c>
      <c r="N81" s="341"/>
      <c r="O81" s="341"/>
      <c r="P81" s="341"/>
      <c r="Q81" s="62" t="str">
        <f>E24</f>
        <v>g</v>
      </c>
      <c r="R81" s="341"/>
      <c r="S81" s="335"/>
      <c r="T81" s="337"/>
    </row>
    <row r="82" spans="1:23" s="57" customFormat="1">
      <c r="A82" s="63">
        <v>1</v>
      </c>
      <c r="B82" s="105" t="s">
        <v>7</v>
      </c>
      <c r="C82" s="109">
        <v>2</v>
      </c>
      <c r="D82" s="108" t="s">
        <v>22</v>
      </c>
      <c r="E82" s="328" t="s">
        <v>28</v>
      </c>
      <c r="F82" s="329"/>
      <c r="G82" s="330"/>
      <c r="H82" s="64"/>
      <c r="I82" s="64"/>
      <c r="J82" s="338">
        <v>1</v>
      </c>
      <c r="K82" s="339"/>
      <c r="L82" s="333"/>
      <c r="M82" s="65">
        <f t="shared" ref="M82:M101" si="0">IF(J82="","",V82*J82)</f>
        <v>2</v>
      </c>
      <c r="N82" s="66" t="s">
        <v>27</v>
      </c>
      <c r="O82" s="105"/>
      <c r="P82" s="67">
        <v>70</v>
      </c>
      <c r="Q82" s="68">
        <f t="shared" ref="Q82:Q101" si="1">IF(P82="","",W82*P82/100)</f>
        <v>1.4</v>
      </c>
      <c r="R82" s="69" t="s">
        <v>35</v>
      </c>
      <c r="S82" s="70"/>
      <c r="T82" s="71"/>
      <c r="V82" s="72">
        <f>C82</f>
        <v>2</v>
      </c>
      <c r="W82" s="72">
        <f>M82</f>
        <v>2</v>
      </c>
    </row>
    <row r="83" spans="1:23" s="57" customFormat="1">
      <c r="A83" s="63">
        <v>2</v>
      </c>
      <c r="B83" s="105"/>
      <c r="C83" s="109"/>
      <c r="D83" s="108"/>
      <c r="E83" s="328"/>
      <c r="F83" s="329"/>
      <c r="G83" s="330"/>
      <c r="H83" s="64"/>
      <c r="I83" s="64"/>
      <c r="J83" s="331"/>
      <c r="K83" s="332"/>
      <c r="L83" s="333"/>
      <c r="M83" s="65" t="str">
        <f t="shared" si="0"/>
        <v/>
      </c>
      <c r="N83" s="66" t="s">
        <v>21</v>
      </c>
      <c r="O83" s="105"/>
      <c r="P83" s="67">
        <v>20</v>
      </c>
      <c r="Q83" s="68">
        <f t="shared" si="1"/>
        <v>0.4</v>
      </c>
      <c r="R83" s="69" t="s">
        <v>36</v>
      </c>
      <c r="S83" s="70"/>
      <c r="T83" s="71"/>
      <c r="V83" s="73">
        <f t="shared" ref="V83:V101" si="2">IF(C83="",V82,C83)</f>
        <v>2</v>
      </c>
      <c r="W83" s="73">
        <f t="shared" ref="W83:W101" si="3">IF(M83="",W82,M83)</f>
        <v>2</v>
      </c>
    </row>
    <row r="84" spans="1:23" s="57" customFormat="1">
      <c r="A84" s="63">
        <v>3</v>
      </c>
      <c r="B84" s="105"/>
      <c r="C84" s="109"/>
      <c r="D84" s="108"/>
      <c r="E84" s="328"/>
      <c r="F84" s="329"/>
      <c r="G84" s="330"/>
      <c r="H84" s="64"/>
      <c r="I84" s="64"/>
      <c r="J84" s="331"/>
      <c r="K84" s="332"/>
      <c r="L84" s="333"/>
      <c r="M84" s="65" t="str">
        <f t="shared" si="0"/>
        <v/>
      </c>
      <c r="N84" s="74" t="s">
        <v>9</v>
      </c>
      <c r="O84" s="75"/>
      <c r="P84" s="67">
        <v>10</v>
      </c>
      <c r="Q84" s="68">
        <f t="shared" si="1"/>
        <v>0.2</v>
      </c>
      <c r="R84" s="69" t="s">
        <v>37</v>
      </c>
      <c r="S84" s="70"/>
      <c r="T84" s="71"/>
      <c r="V84" s="73">
        <f t="shared" si="2"/>
        <v>2</v>
      </c>
      <c r="W84" s="73">
        <f t="shared" si="3"/>
        <v>2</v>
      </c>
    </row>
    <row r="85" spans="1:23" s="57" customFormat="1">
      <c r="A85" s="63">
        <v>4</v>
      </c>
      <c r="B85" s="105" t="s">
        <v>5</v>
      </c>
      <c r="C85" s="109">
        <v>8</v>
      </c>
      <c r="D85" s="108" t="s">
        <v>22</v>
      </c>
      <c r="E85" s="328" t="s">
        <v>23</v>
      </c>
      <c r="F85" s="329"/>
      <c r="G85" s="330"/>
      <c r="H85" s="64"/>
      <c r="I85" s="64"/>
      <c r="J85" s="331">
        <v>0.5</v>
      </c>
      <c r="K85" s="332"/>
      <c r="L85" s="333"/>
      <c r="M85" s="65">
        <f t="shared" si="0"/>
        <v>4</v>
      </c>
      <c r="N85" s="74" t="s">
        <v>10</v>
      </c>
      <c r="O85" s="76"/>
      <c r="P85" s="67">
        <v>80</v>
      </c>
      <c r="Q85" s="68">
        <f t="shared" si="1"/>
        <v>3.2</v>
      </c>
      <c r="R85" s="69" t="s">
        <v>35</v>
      </c>
      <c r="S85" s="70"/>
      <c r="T85" s="71"/>
      <c r="V85" s="73">
        <f t="shared" si="2"/>
        <v>8</v>
      </c>
      <c r="W85" s="73">
        <f t="shared" si="3"/>
        <v>4</v>
      </c>
    </row>
    <row r="86" spans="1:23" s="57" customFormat="1">
      <c r="A86" s="63">
        <v>5</v>
      </c>
      <c r="B86" s="105"/>
      <c r="C86" s="109"/>
      <c r="D86" s="108"/>
      <c r="E86" s="328"/>
      <c r="F86" s="329"/>
      <c r="G86" s="330"/>
      <c r="H86" s="64"/>
      <c r="I86" s="64"/>
      <c r="J86" s="331"/>
      <c r="K86" s="332"/>
      <c r="L86" s="333"/>
      <c r="M86" s="65" t="str">
        <f t="shared" si="0"/>
        <v/>
      </c>
      <c r="N86" s="74" t="s">
        <v>11</v>
      </c>
      <c r="O86" s="105"/>
      <c r="P86" s="67">
        <v>20</v>
      </c>
      <c r="Q86" s="68">
        <f t="shared" si="1"/>
        <v>0.8</v>
      </c>
      <c r="R86" s="69" t="s">
        <v>38</v>
      </c>
      <c r="S86" s="70"/>
      <c r="T86" s="71"/>
      <c r="V86" s="73">
        <f t="shared" si="2"/>
        <v>8</v>
      </c>
      <c r="W86" s="73">
        <f t="shared" si="3"/>
        <v>4</v>
      </c>
    </row>
    <row r="87" spans="1:23" s="57" customFormat="1">
      <c r="A87" s="63">
        <v>6</v>
      </c>
      <c r="B87" s="105"/>
      <c r="C87" s="109"/>
      <c r="D87" s="105" t="s">
        <v>24</v>
      </c>
      <c r="E87" s="328" t="s">
        <v>25</v>
      </c>
      <c r="F87" s="329"/>
      <c r="G87" s="330"/>
      <c r="H87" s="64"/>
      <c r="I87" s="64"/>
      <c r="J87" s="331">
        <v>0.3</v>
      </c>
      <c r="K87" s="332"/>
      <c r="L87" s="333"/>
      <c r="M87" s="65">
        <f t="shared" si="0"/>
        <v>2.4</v>
      </c>
      <c r="N87" s="74" t="s">
        <v>8</v>
      </c>
      <c r="O87" s="105"/>
      <c r="P87" s="77">
        <v>100</v>
      </c>
      <c r="Q87" s="68">
        <f t="shared" si="1"/>
        <v>2.4</v>
      </c>
      <c r="R87" s="69" t="s">
        <v>41</v>
      </c>
      <c r="S87" s="70"/>
      <c r="T87" s="71"/>
      <c r="V87" s="73">
        <f t="shared" si="2"/>
        <v>8</v>
      </c>
      <c r="W87" s="73">
        <f t="shared" si="3"/>
        <v>2.4</v>
      </c>
    </row>
    <row r="88" spans="1:23" s="57" customFormat="1">
      <c r="A88" s="63">
        <v>7</v>
      </c>
      <c r="B88" s="105"/>
      <c r="C88" s="109"/>
      <c r="D88" s="108" t="s">
        <v>24</v>
      </c>
      <c r="E88" s="328" t="s">
        <v>26</v>
      </c>
      <c r="F88" s="329"/>
      <c r="G88" s="330"/>
      <c r="H88" s="64"/>
      <c r="I88" s="64"/>
      <c r="J88" s="331">
        <v>0.2</v>
      </c>
      <c r="K88" s="332"/>
      <c r="L88" s="333"/>
      <c r="M88" s="65">
        <f t="shared" si="0"/>
        <v>1.6</v>
      </c>
      <c r="N88" s="74" t="s">
        <v>6</v>
      </c>
      <c r="O88" s="105"/>
      <c r="P88" s="77">
        <v>100</v>
      </c>
      <c r="Q88" s="68">
        <f t="shared" si="1"/>
        <v>1.6</v>
      </c>
      <c r="R88" s="69" t="s">
        <v>42</v>
      </c>
      <c r="S88" s="70"/>
      <c r="T88" s="71"/>
      <c r="V88" s="73">
        <f t="shared" si="2"/>
        <v>8</v>
      </c>
      <c r="W88" s="73">
        <f t="shared" si="3"/>
        <v>1.6</v>
      </c>
    </row>
    <row r="89" spans="1:23" s="57" customFormat="1">
      <c r="A89" s="63">
        <v>8</v>
      </c>
      <c r="B89" s="105"/>
      <c r="C89" s="109"/>
      <c r="D89" s="108"/>
      <c r="E89" s="328"/>
      <c r="F89" s="329"/>
      <c r="G89" s="330"/>
      <c r="H89" s="64"/>
      <c r="I89" s="64"/>
      <c r="J89" s="331"/>
      <c r="K89" s="332"/>
      <c r="L89" s="333"/>
      <c r="M89" s="65" t="str">
        <f t="shared" si="0"/>
        <v/>
      </c>
      <c r="N89" s="74"/>
      <c r="O89" s="105"/>
      <c r="P89" s="77"/>
      <c r="Q89" s="68" t="str">
        <f t="shared" si="1"/>
        <v/>
      </c>
      <c r="R89" s="69"/>
      <c r="S89" s="70"/>
      <c r="T89" s="71"/>
      <c r="V89" s="73">
        <f t="shared" si="2"/>
        <v>8</v>
      </c>
      <c r="W89" s="73">
        <f t="shared" si="3"/>
        <v>1.6</v>
      </c>
    </row>
    <row r="90" spans="1:23" s="57" customFormat="1">
      <c r="A90" s="63">
        <v>9</v>
      </c>
      <c r="B90" s="105"/>
      <c r="C90" s="109"/>
      <c r="D90" s="108"/>
      <c r="E90" s="328"/>
      <c r="F90" s="329"/>
      <c r="G90" s="330"/>
      <c r="H90" s="64"/>
      <c r="I90" s="64"/>
      <c r="J90" s="331"/>
      <c r="K90" s="332"/>
      <c r="L90" s="333"/>
      <c r="M90" s="65" t="str">
        <f t="shared" si="0"/>
        <v/>
      </c>
      <c r="N90" s="74"/>
      <c r="O90" s="105"/>
      <c r="P90" s="77"/>
      <c r="Q90" s="68" t="str">
        <f t="shared" si="1"/>
        <v/>
      </c>
      <c r="R90" s="69"/>
      <c r="S90" s="78"/>
      <c r="T90" s="71"/>
      <c r="V90" s="73">
        <f t="shared" si="2"/>
        <v>8</v>
      </c>
      <c r="W90" s="73">
        <f t="shared" si="3"/>
        <v>1.6</v>
      </c>
    </row>
    <row r="91" spans="1:23" s="57" customFormat="1">
      <c r="A91" s="63">
        <v>10</v>
      </c>
      <c r="B91" s="105"/>
      <c r="C91" s="109"/>
      <c r="D91" s="108"/>
      <c r="E91" s="328"/>
      <c r="F91" s="329"/>
      <c r="G91" s="330"/>
      <c r="H91" s="64"/>
      <c r="I91" s="64"/>
      <c r="J91" s="331"/>
      <c r="K91" s="332"/>
      <c r="L91" s="333"/>
      <c r="M91" s="65" t="str">
        <f t="shared" si="0"/>
        <v/>
      </c>
      <c r="N91" s="74"/>
      <c r="O91" s="105"/>
      <c r="P91" s="77"/>
      <c r="Q91" s="68" t="str">
        <f t="shared" si="1"/>
        <v/>
      </c>
      <c r="R91" s="69"/>
      <c r="S91" s="78"/>
      <c r="T91" s="71"/>
      <c r="V91" s="73">
        <f t="shared" si="2"/>
        <v>8</v>
      </c>
      <c r="W91" s="73">
        <f t="shared" si="3"/>
        <v>1.6</v>
      </c>
    </row>
    <row r="92" spans="1:23" s="57" customFormat="1">
      <c r="A92" s="63">
        <v>11</v>
      </c>
      <c r="B92" s="105"/>
      <c r="C92" s="109"/>
      <c r="D92" s="108"/>
      <c r="E92" s="328"/>
      <c r="F92" s="329"/>
      <c r="G92" s="330"/>
      <c r="H92" s="64"/>
      <c r="I92" s="64"/>
      <c r="J92" s="331"/>
      <c r="K92" s="332"/>
      <c r="L92" s="333"/>
      <c r="M92" s="65" t="str">
        <f t="shared" si="0"/>
        <v/>
      </c>
      <c r="N92" s="74"/>
      <c r="O92" s="105"/>
      <c r="P92" s="77"/>
      <c r="Q92" s="68" t="str">
        <f t="shared" si="1"/>
        <v/>
      </c>
      <c r="R92" s="69"/>
      <c r="S92" s="78"/>
      <c r="T92" s="71"/>
      <c r="V92" s="73">
        <f t="shared" si="2"/>
        <v>8</v>
      </c>
      <c r="W92" s="73">
        <f t="shared" si="3"/>
        <v>1.6</v>
      </c>
    </row>
    <row r="93" spans="1:23" s="57" customFormat="1">
      <c r="A93" s="63">
        <v>12</v>
      </c>
      <c r="B93" s="105"/>
      <c r="C93" s="109"/>
      <c r="D93" s="108"/>
      <c r="E93" s="328"/>
      <c r="F93" s="329"/>
      <c r="G93" s="330"/>
      <c r="H93" s="64"/>
      <c r="I93" s="64"/>
      <c r="J93" s="331"/>
      <c r="K93" s="332"/>
      <c r="L93" s="333"/>
      <c r="M93" s="65" t="str">
        <f t="shared" si="0"/>
        <v/>
      </c>
      <c r="N93" s="74"/>
      <c r="O93" s="105"/>
      <c r="P93" s="67"/>
      <c r="Q93" s="68" t="str">
        <f t="shared" si="1"/>
        <v/>
      </c>
      <c r="R93" s="69"/>
      <c r="S93" s="70"/>
      <c r="T93" s="71"/>
      <c r="V93" s="73">
        <f t="shared" si="2"/>
        <v>8</v>
      </c>
      <c r="W93" s="73">
        <f t="shared" si="3"/>
        <v>1.6</v>
      </c>
    </row>
    <row r="94" spans="1:23" s="57" customFormat="1">
      <c r="A94" s="63">
        <v>13</v>
      </c>
      <c r="B94" s="105"/>
      <c r="C94" s="109"/>
      <c r="D94" s="108"/>
      <c r="E94" s="328"/>
      <c r="F94" s="329"/>
      <c r="G94" s="330"/>
      <c r="H94" s="64"/>
      <c r="I94" s="64"/>
      <c r="J94" s="331"/>
      <c r="K94" s="332"/>
      <c r="L94" s="333"/>
      <c r="M94" s="65" t="str">
        <f t="shared" si="0"/>
        <v/>
      </c>
      <c r="N94" s="74"/>
      <c r="O94" s="105"/>
      <c r="P94" s="67"/>
      <c r="Q94" s="68" t="str">
        <f t="shared" si="1"/>
        <v/>
      </c>
      <c r="R94" s="69"/>
      <c r="S94" s="70"/>
      <c r="T94" s="71"/>
      <c r="V94" s="73">
        <f t="shared" si="2"/>
        <v>8</v>
      </c>
      <c r="W94" s="73">
        <f t="shared" si="3"/>
        <v>1.6</v>
      </c>
    </row>
    <row r="95" spans="1:23" s="57" customFormat="1">
      <c r="A95" s="63">
        <v>14</v>
      </c>
      <c r="B95" s="105"/>
      <c r="C95" s="109"/>
      <c r="D95" s="108"/>
      <c r="E95" s="328"/>
      <c r="F95" s="329"/>
      <c r="G95" s="330"/>
      <c r="H95" s="64"/>
      <c r="I95" s="64"/>
      <c r="J95" s="331"/>
      <c r="K95" s="332"/>
      <c r="L95" s="333"/>
      <c r="M95" s="65" t="str">
        <f t="shared" si="0"/>
        <v/>
      </c>
      <c r="N95" s="74"/>
      <c r="O95" s="105"/>
      <c r="P95" s="67"/>
      <c r="Q95" s="68" t="str">
        <f t="shared" si="1"/>
        <v/>
      </c>
      <c r="R95" s="69"/>
      <c r="S95" s="70"/>
      <c r="T95" s="71"/>
      <c r="V95" s="73">
        <f t="shared" si="2"/>
        <v>8</v>
      </c>
      <c r="W95" s="73">
        <f t="shared" si="3"/>
        <v>1.6</v>
      </c>
    </row>
    <row r="96" spans="1:23" s="57" customFormat="1">
      <c r="A96" s="63">
        <v>15</v>
      </c>
      <c r="B96" s="105"/>
      <c r="C96" s="109"/>
      <c r="D96" s="108"/>
      <c r="E96" s="328"/>
      <c r="F96" s="329"/>
      <c r="G96" s="330"/>
      <c r="H96" s="64"/>
      <c r="I96" s="64"/>
      <c r="J96" s="331"/>
      <c r="K96" s="332"/>
      <c r="L96" s="333"/>
      <c r="M96" s="65" t="str">
        <f t="shared" si="0"/>
        <v/>
      </c>
      <c r="N96" s="74"/>
      <c r="O96" s="105"/>
      <c r="P96" s="67"/>
      <c r="Q96" s="68" t="str">
        <f t="shared" si="1"/>
        <v/>
      </c>
      <c r="R96" s="69"/>
      <c r="S96" s="70"/>
      <c r="T96" s="71"/>
      <c r="V96" s="73">
        <f t="shared" si="2"/>
        <v>8</v>
      </c>
      <c r="W96" s="73">
        <f t="shared" si="3"/>
        <v>1.6</v>
      </c>
    </row>
    <row r="97" spans="1:23" s="57" customFormat="1">
      <c r="A97" s="63">
        <v>16</v>
      </c>
      <c r="B97" s="105"/>
      <c r="C97" s="109"/>
      <c r="D97" s="108"/>
      <c r="E97" s="328"/>
      <c r="F97" s="329"/>
      <c r="G97" s="330"/>
      <c r="H97" s="64"/>
      <c r="I97" s="64"/>
      <c r="J97" s="331"/>
      <c r="K97" s="332"/>
      <c r="L97" s="333"/>
      <c r="M97" s="65" t="str">
        <f t="shared" si="0"/>
        <v/>
      </c>
      <c r="N97" s="74"/>
      <c r="O97" s="105"/>
      <c r="P97" s="67"/>
      <c r="Q97" s="68" t="str">
        <f t="shared" si="1"/>
        <v/>
      </c>
      <c r="R97" s="69"/>
      <c r="S97" s="70"/>
      <c r="T97" s="79"/>
      <c r="V97" s="73">
        <f t="shared" si="2"/>
        <v>8</v>
      </c>
      <c r="W97" s="73">
        <f t="shared" si="3"/>
        <v>1.6</v>
      </c>
    </row>
    <row r="98" spans="1:23" s="57" customFormat="1">
      <c r="A98" s="63">
        <v>17</v>
      </c>
      <c r="B98" s="105"/>
      <c r="C98" s="109"/>
      <c r="D98" s="108"/>
      <c r="E98" s="328"/>
      <c r="F98" s="329"/>
      <c r="G98" s="330"/>
      <c r="H98" s="64"/>
      <c r="I98" s="64"/>
      <c r="J98" s="331"/>
      <c r="K98" s="332"/>
      <c r="L98" s="333"/>
      <c r="M98" s="65" t="str">
        <f t="shared" si="0"/>
        <v/>
      </c>
      <c r="N98" s="74"/>
      <c r="O98" s="105"/>
      <c r="P98" s="67"/>
      <c r="Q98" s="68" t="str">
        <f t="shared" si="1"/>
        <v/>
      </c>
      <c r="R98" s="69"/>
      <c r="S98" s="70"/>
      <c r="T98" s="71"/>
      <c r="V98" s="73">
        <f t="shared" si="2"/>
        <v>8</v>
      </c>
      <c r="W98" s="73">
        <f t="shared" si="3"/>
        <v>1.6</v>
      </c>
    </row>
    <row r="99" spans="1:23" s="57" customFormat="1">
      <c r="A99" s="63">
        <v>18</v>
      </c>
      <c r="B99" s="105"/>
      <c r="C99" s="109"/>
      <c r="D99" s="108"/>
      <c r="E99" s="328"/>
      <c r="F99" s="329"/>
      <c r="G99" s="330"/>
      <c r="H99" s="64"/>
      <c r="I99" s="64"/>
      <c r="J99" s="331"/>
      <c r="K99" s="332"/>
      <c r="L99" s="333"/>
      <c r="M99" s="65" t="str">
        <f t="shared" si="0"/>
        <v/>
      </c>
      <c r="N99" s="74"/>
      <c r="O99" s="105"/>
      <c r="P99" s="67"/>
      <c r="Q99" s="68" t="str">
        <f t="shared" si="1"/>
        <v/>
      </c>
      <c r="R99" s="69"/>
      <c r="S99" s="70"/>
      <c r="T99" s="79"/>
      <c r="V99" s="73">
        <f t="shared" si="2"/>
        <v>8</v>
      </c>
      <c r="W99" s="73">
        <f t="shared" si="3"/>
        <v>1.6</v>
      </c>
    </row>
    <row r="100" spans="1:23" s="57" customFormat="1">
      <c r="A100" s="63">
        <v>19</v>
      </c>
      <c r="B100" s="105"/>
      <c r="C100" s="109"/>
      <c r="D100" s="108"/>
      <c r="E100" s="328"/>
      <c r="F100" s="329"/>
      <c r="G100" s="330"/>
      <c r="H100" s="64"/>
      <c r="I100" s="64"/>
      <c r="J100" s="331"/>
      <c r="K100" s="332"/>
      <c r="L100" s="333"/>
      <c r="M100" s="65" t="str">
        <f t="shared" si="0"/>
        <v/>
      </c>
      <c r="N100" s="74"/>
      <c r="O100" s="105"/>
      <c r="P100" s="67"/>
      <c r="Q100" s="68" t="str">
        <f t="shared" si="1"/>
        <v/>
      </c>
      <c r="R100" s="69"/>
      <c r="S100" s="70"/>
      <c r="T100" s="79"/>
      <c r="V100" s="73">
        <f t="shared" si="2"/>
        <v>8</v>
      </c>
      <c r="W100" s="73">
        <f t="shared" si="3"/>
        <v>1.6</v>
      </c>
    </row>
    <row r="101" spans="1:23" s="57" customFormat="1">
      <c r="A101" s="63">
        <v>20</v>
      </c>
      <c r="B101" s="105"/>
      <c r="C101" s="109"/>
      <c r="D101" s="108"/>
      <c r="E101" s="328"/>
      <c r="F101" s="329"/>
      <c r="G101" s="330"/>
      <c r="H101" s="64"/>
      <c r="I101" s="64"/>
      <c r="J101" s="331"/>
      <c r="K101" s="332"/>
      <c r="L101" s="333"/>
      <c r="M101" s="65" t="str">
        <f t="shared" si="0"/>
        <v/>
      </c>
      <c r="N101" s="80"/>
      <c r="O101" s="105"/>
      <c r="P101" s="67"/>
      <c r="Q101" s="68" t="str">
        <f t="shared" si="1"/>
        <v/>
      </c>
      <c r="R101" s="69"/>
      <c r="S101" s="70"/>
      <c r="T101" s="79"/>
      <c r="V101" s="73">
        <f t="shared" si="2"/>
        <v>8</v>
      </c>
      <c r="W101" s="73">
        <f t="shared" si="3"/>
        <v>1.6</v>
      </c>
    </row>
    <row r="102" spans="1:23" s="57" customFormat="1" ht="28.5" customHeight="1">
      <c r="B102" s="81"/>
      <c r="C102" s="81"/>
      <c r="D102" s="81"/>
      <c r="E102" s="82"/>
      <c r="F102" s="82"/>
      <c r="G102" s="82"/>
      <c r="H102" s="82"/>
      <c r="I102" s="82"/>
      <c r="J102" s="317" t="str">
        <f>IF(B5="English","Total region mas",IF(B5="中国語","総部位的
质量合计","総部位
質量合計"))</f>
        <v>総部位
質量合計</v>
      </c>
      <c r="K102" s="318"/>
      <c r="L102" s="319"/>
      <c r="M102" s="320">
        <f>SUM(M82:M101)</f>
        <v>10</v>
      </c>
      <c r="N102" s="322"/>
      <c r="O102" s="323"/>
      <c r="P102" s="83" t="str">
        <f>IF(B5="English","Total mass",IF(B5="中国語","总质量","物質質量
合計"))</f>
        <v>物質質量
合計</v>
      </c>
      <c r="Q102" s="320">
        <f>SUM(Q82:Q101)</f>
        <v>10</v>
      </c>
      <c r="R102" s="322"/>
      <c r="S102" s="324"/>
      <c r="T102" s="324"/>
    </row>
    <row r="103" spans="1:23" ht="17.25" customHeight="1">
      <c r="B103" s="2"/>
      <c r="D103" s="84"/>
      <c r="E103" s="84"/>
      <c r="F103" s="84"/>
      <c r="G103" s="84"/>
      <c r="H103" s="85"/>
      <c r="I103" s="86"/>
      <c r="J103" s="325" t="str">
        <f>E24</f>
        <v>g</v>
      </c>
      <c r="K103" s="326"/>
      <c r="L103" s="327"/>
      <c r="M103" s="321"/>
      <c r="N103" s="87"/>
      <c r="O103" s="84"/>
      <c r="P103" s="88" t="str">
        <f>E24</f>
        <v>g</v>
      </c>
      <c r="Q103" s="321"/>
      <c r="R103" s="8"/>
      <c r="S103" s="89"/>
    </row>
    <row r="104" spans="1:23" ht="17.25" customHeight="1">
      <c r="I104" s="87"/>
      <c r="J104" s="87"/>
      <c r="K104" s="87"/>
      <c r="L104" s="87"/>
      <c r="M104" s="87"/>
      <c r="N104" s="90"/>
      <c r="O104" s="87"/>
      <c r="P104" s="28"/>
      <c r="Q104" s="28"/>
      <c r="R104" s="91"/>
      <c r="S104" s="315" t="s">
        <v>17</v>
      </c>
      <c r="T104" s="316"/>
    </row>
    <row r="105" spans="1:23" ht="20.100000000000001" customHeight="1">
      <c r="I105" s="87"/>
      <c r="J105" s="87"/>
      <c r="K105" s="87"/>
      <c r="L105" s="87"/>
      <c r="M105" s="87"/>
      <c r="N105" s="90"/>
      <c r="O105" s="87"/>
      <c r="P105" s="28"/>
      <c r="Q105" s="28"/>
      <c r="R105" s="89"/>
      <c r="S105" s="92"/>
    </row>
    <row r="106" spans="1:23" ht="16.2" customHeight="1">
      <c r="A106" s="93"/>
      <c r="B106" s="97"/>
      <c r="C106" s="102"/>
      <c r="D106" s="102"/>
      <c r="E106" s="25"/>
      <c r="F106" s="25"/>
      <c r="G106" s="25"/>
      <c r="H106" s="25"/>
      <c r="O106" s="1"/>
    </row>
    <row r="107" spans="1:23" ht="16.2" customHeight="1">
      <c r="A107" s="94"/>
      <c r="B107" s="2"/>
      <c r="D107" s="102"/>
      <c r="E107" s="95"/>
      <c r="F107" s="95"/>
      <c r="G107" s="95"/>
      <c r="H107" s="95"/>
      <c r="O107" s="1"/>
    </row>
    <row r="108" spans="1:23" ht="16.2" customHeight="1">
      <c r="A108" s="96"/>
      <c r="D108" s="111"/>
      <c r="E108" s="111"/>
      <c r="F108" s="111"/>
      <c r="G108" s="111"/>
      <c r="H108" s="111"/>
      <c r="I108" s="97"/>
      <c r="J108" s="97"/>
      <c r="K108" s="97"/>
      <c r="L108" s="97"/>
      <c r="M108" s="97"/>
      <c r="O108" s="1"/>
    </row>
    <row r="109" spans="1:23" ht="16.2" customHeight="1">
      <c r="A109" s="93"/>
      <c r="O109" s="1"/>
      <c r="S109" s="90"/>
    </row>
  </sheetData>
  <mergeCells count="97">
    <mergeCell ref="B5:J5"/>
    <mergeCell ref="B7:M7"/>
    <mergeCell ref="O8:Q8"/>
    <mergeCell ref="O9:Q9"/>
    <mergeCell ref="B10:H10"/>
    <mergeCell ref="O10:Q10"/>
    <mergeCell ref="B11:H11"/>
    <mergeCell ref="O11:Q11"/>
    <mergeCell ref="B14:C14"/>
    <mergeCell ref="D14:H14"/>
    <mergeCell ref="I14:M14"/>
    <mergeCell ref="N14:Q14"/>
    <mergeCell ref="B15:C15"/>
    <mergeCell ref="D15:H15"/>
    <mergeCell ref="I15:M15"/>
    <mergeCell ref="N15:Q15"/>
    <mergeCell ref="B16:C16"/>
    <mergeCell ref="D16:H16"/>
    <mergeCell ref="I16:M16"/>
    <mergeCell ref="N16:Q16"/>
    <mergeCell ref="B17:C17"/>
    <mergeCell ref="D17:H17"/>
    <mergeCell ref="I17:M17"/>
    <mergeCell ref="N17:Q17"/>
    <mergeCell ref="B20:C20"/>
    <mergeCell ref="D20:H20"/>
    <mergeCell ref="I20:M20"/>
    <mergeCell ref="N20:Q20"/>
    <mergeCell ref="B21:C21"/>
    <mergeCell ref="D21:H21"/>
    <mergeCell ref="I21:M21"/>
    <mergeCell ref="N21:Q21"/>
    <mergeCell ref="B22:C22"/>
    <mergeCell ref="D22:H22"/>
    <mergeCell ref="I22:M22"/>
    <mergeCell ref="N22:Q22"/>
    <mergeCell ref="B24:C24"/>
    <mergeCell ref="A80:A81"/>
    <mergeCell ref="B80:B81"/>
    <mergeCell ref="D80:D81"/>
    <mergeCell ref="E80:G81"/>
    <mergeCell ref="S80:S81"/>
    <mergeCell ref="T80:T81"/>
    <mergeCell ref="E82:G82"/>
    <mergeCell ref="J82:L82"/>
    <mergeCell ref="E83:G83"/>
    <mergeCell ref="J83:L83"/>
    <mergeCell ref="I80:I81"/>
    <mergeCell ref="J80:L80"/>
    <mergeCell ref="N80:N81"/>
    <mergeCell ref="O80:O81"/>
    <mergeCell ref="P80:P81"/>
    <mergeCell ref="R80:R81"/>
    <mergeCell ref="H80:H81"/>
    <mergeCell ref="E84:G84"/>
    <mergeCell ref="J84:L84"/>
    <mergeCell ref="E85:G85"/>
    <mergeCell ref="J85:L85"/>
    <mergeCell ref="E86:G86"/>
    <mergeCell ref="J86:L86"/>
    <mergeCell ref="E87:G87"/>
    <mergeCell ref="J87:L87"/>
    <mergeCell ref="E88:G88"/>
    <mergeCell ref="J88:L88"/>
    <mergeCell ref="E89:G89"/>
    <mergeCell ref="J89:L89"/>
    <mergeCell ref="E90:G90"/>
    <mergeCell ref="J90:L90"/>
    <mergeCell ref="E91:G91"/>
    <mergeCell ref="J91:L91"/>
    <mergeCell ref="E92:G92"/>
    <mergeCell ref="J92:L92"/>
    <mergeCell ref="E93:G93"/>
    <mergeCell ref="J93:L93"/>
    <mergeCell ref="E94:G94"/>
    <mergeCell ref="J94:L94"/>
    <mergeCell ref="E95:G95"/>
    <mergeCell ref="J95:L95"/>
    <mergeCell ref="E96:G96"/>
    <mergeCell ref="J96:L96"/>
    <mergeCell ref="E97:G97"/>
    <mergeCell ref="J97:L97"/>
    <mergeCell ref="E98:G98"/>
    <mergeCell ref="J98:L98"/>
    <mergeCell ref="E99:G99"/>
    <mergeCell ref="J99:L99"/>
    <mergeCell ref="E100:G100"/>
    <mergeCell ref="J100:L100"/>
    <mergeCell ref="E101:G101"/>
    <mergeCell ref="J101:L101"/>
    <mergeCell ref="S104:T104"/>
    <mergeCell ref="J102:L102"/>
    <mergeCell ref="M102:M103"/>
    <mergeCell ref="N102:O102"/>
    <mergeCell ref="Q102:Q103"/>
    <mergeCell ref="R102:T102"/>
    <mergeCell ref="J103:L103"/>
  </mergeCells>
  <phoneticPr fontId="2"/>
  <conditionalFormatting sqref="J70:L70 O70">
    <cfRule type="expression" dxfId="2" priority="1" stopIfTrue="1">
      <formula>$A$14&lt;&gt;""</formula>
    </cfRule>
  </conditionalFormatting>
  <dataValidations count="9">
    <dataValidation type="list" allowBlank="1" showInputMessage="1" sqref="R82:R101">
      <formula1>$B$27:$B$72</formula1>
    </dataValidation>
    <dataValidation type="list" allowBlank="1" showInputMessage="1" sqref="E82:G101">
      <formula1>INDIRECT(D82)</formula1>
    </dataValidation>
    <dataValidation type="list" allowBlank="1" showInputMessage="1" sqref="D82:D101">
      <formula1>$M$27:$X$27</formula1>
    </dataValidation>
    <dataValidation type="list" allowBlank="1" showInputMessage="1" showErrorMessage="1" promptTitle="=Weight/1pcs" prompt="(Weight of one product)_x000a__x000a_*** mg/pcs_x000a_*** mg/m_x000a_*** mg/m2_x000a_*** g/pcs_x000a_*** g/m_x000a_*** g/m2" sqref="G24">
      <formula1>"pcs,m,m2,"</formula1>
    </dataValidation>
    <dataValidation type="list" allowBlank="1" showInputMessage="1" showErrorMessage="1" promptTitle="=Weight/1pcs" prompt="(Weight of one prosuct)_x000a__x000a_*** mg/pcs_x000a_*** mg/m_x000a_*** mg/m2_x000a_*** g/pcs_x000a_*** g/m_x000a_*** g/m2" sqref="L81 J81">
      <formula1>"mg,g"</formula1>
    </dataValidation>
    <dataValidation type="list" allowBlank="1" showInputMessage="1" showErrorMessage="1" sqref="K5:L6 B5:J5">
      <formula1>$W$7:$W$9</formula1>
    </dataValidation>
    <dataValidation imeMode="off" allowBlank="1" showInputMessage="1" showErrorMessage="1" sqref="A82:A101 O82:Q101 S82:S101 I82:K101 N20:Q22 N14:Q15 M82:M101 D24 D20:H22 D14:H14"/>
    <dataValidation type="list" allowBlank="1" showInputMessage="1" showErrorMessage="1" sqref="M5:M6">
      <formula1>$W$5:$W$9</formula1>
    </dataValidation>
    <dataValidation type="list" allowBlank="1" showInputMessage="1" showErrorMessage="1" promptTitle="=Weight/1pcs" prompt="(Weight of one product)_x000a__x000a_*** mg/pcs_x000a_*** mg/m_x000a_*** mg/m2_x000a_*** g/pcs_x000a_*** g/m_x000a_*** g/m2" sqref="E24">
      <formula1>"mg,g"</formula1>
    </dataValidation>
  </dataValidations>
  <pageMargins left="0.27559055118110237" right="0.19685039370078741" top="0.19685039370078741" bottom="0.19685039370078741" header="0.31496062992125984" footer="0.19685039370078741"/>
  <pageSetup paperSize="9" scale="60" orientation="landscape" r:id="rId1"/>
  <headerFooter alignWithMargins="0">
    <oddFooter>&amp;CMiinebeaMitsumi Inc.</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C110"/>
  <sheetViews>
    <sheetView showGridLines="0" zoomScale="70" zoomScaleNormal="70" zoomScaleSheetLayoutView="70" workbookViewId="0">
      <selection activeCell="X1" sqref="X1"/>
    </sheetView>
  </sheetViews>
  <sheetFormatPr defaultColWidth="9" defaultRowHeight="15.6"/>
  <cols>
    <col min="1" max="1" width="3.109375" style="46" customWidth="1"/>
    <col min="2" max="2" width="15.6640625" style="46" customWidth="1"/>
    <col min="3" max="3" width="8.6640625" style="46" customWidth="1"/>
    <col min="4" max="4" width="14.6640625" style="46" customWidth="1"/>
    <col min="5" max="5" width="8.6640625" style="46" customWidth="1"/>
    <col min="6" max="6" width="0.88671875" style="46" customWidth="1"/>
    <col min="7" max="7" width="8.6640625" style="46" customWidth="1"/>
    <col min="8" max="8" width="13.33203125" style="46" customWidth="1"/>
    <col min="9" max="9" width="12.6640625" style="46" customWidth="1"/>
    <col min="10" max="10" width="3.6640625" style="46" customWidth="1"/>
    <col min="11" max="11" width="0.88671875" style="46" customWidth="1"/>
    <col min="12" max="12" width="4.109375" style="46" customWidth="1"/>
    <col min="13" max="13" width="8.6640625" style="46" customWidth="1"/>
    <col min="14" max="14" width="22.44140625" style="46" customWidth="1"/>
    <col min="15" max="17" width="8.6640625" style="46" customWidth="1"/>
    <col min="18" max="18" width="11.88671875" style="46" customWidth="1"/>
    <col min="19" max="20" width="10.6640625" style="46" customWidth="1"/>
    <col min="21" max="21" width="8.6640625" style="46" customWidth="1"/>
    <col min="22" max="22" width="0" style="46" hidden="1" customWidth="1"/>
    <col min="23" max="23" width="9.6640625" style="46" hidden="1" customWidth="1"/>
    <col min="24" max="16384" width="9" style="46"/>
  </cols>
  <sheetData>
    <row r="3" spans="1:29" s="1" customFormat="1" ht="6.75" customHeight="1"/>
    <row r="4" spans="1:29" s="1" customFormat="1" ht="17.25" customHeight="1" thickBot="1">
      <c r="B4" s="1" t="s">
        <v>18</v>
      </c>
    </row>
    <row r="5" spans="1:29" s="1" customFormat="1" ht="16.2" thickBot="1">
      <c r="B5" s="384" t="s">
        <v>58</v>
      </c>
      <c r="C5" s="385"/>
      <c r="D5" s="385"/>
      <c r="E5" s="385"/>
      <c r="F5" s="385"/>
      <c r="G5" s="385"/>
      <c r="H5" s="385"/>
      <c r="I5" s="385"/>
      <c r="J5" s="386"/>
      <c r="K5" s="3"/>
      <c r="L5" s="3"/>
      <c r="M5" s="3"/>
      <c r="W5" s="1" t="s">
        <v>13</v>
      </c>
    </row>
    <row r="6" spans="1:29" s="1" customFormat="1" ht="7.5" customHeight="1">
      <c r="K6" s="3"/>
      <c r="L6" s="3"/>
      <c r="M6" s="3"/>
    </row>
    <row r="7" spans="1:29" s="1" customFormat="1" ht="27.75" customHeight="1">
      <c r="B7" s="387" t="str">
        <f>IF(B5="English","Survey Report of Chemical Substance in Products",IF(B5="中国語","产品含有化学物质调查表","製品含有化学物質調査表"))</f>
        <v>Survey Report of Chemical Substance in Products</v>
      </c>
      <c r="C7" s="388"/>
      <c r="D7" s="388"/>
      <c r="E7" s="388"/>
      <c r="F7" s="388"/>
      <c r="G7" s="388"/>
      <c r="H7" s="388"/>
      <c r="I7" s="388"/>
      <c r="J7" s="388"/>
      <c r="K7" s="388"/>
      <c r="L7" s="388"/>
      <c r="M7" s="388"/>
      <c r="N7" s="4"/>
      <c r="O7" s="4"/>
      <c r="P7" s="4"/>
      <c r="Q7" s="5"/>
      <c r="R7" s="4"/>
      <c r="S7" s="6"/>
      <c r="T7" s="4"/>
      <c r="U7" s="4"/>
      <c r="V7" s="4"/>
      <c r="W7" s="1" t="s">
        <v>14</v>
      </c>
      <c r="X7" s="4"/>
      <c r="Y7" s="4"/>
      <c r="Z7" s="4"/>
      <c r="AA7" s="5"/>
    </row>
    <row r="8" spans="1:29" s="1" customFormat="1" ht="19.2" customHeight="1">
      <c r="B8" s="4"/>
      <c r="C8" s="4"/>
      <c r="D8" s="4"/>
      <c r="E8" s="4"/>
      <c r="F8" s="4"/>
      <c r="G8" s="4"/>
      <c r="H8" s="4"/>
      <c r="I8" s="4"/>
      <c r="J8" s="4"/>
      <c r="K8" s="4"/>
      <c r="L8" s="4"/>
      <c r="M8" s="4"/>
      <c r="N8" s="4"/>
      <c r="O8" s="389" t="str">
        <f>IF(B5="English","Document No.:",IF(B5="中国語","资料 No.:","資料No.:"))</f>
        <v>Document No.:</v>
      </c>
      <c r="P8" s="389"/>
      <c r="Q8" s="389"/>
      <c r="R8" s="4"/>
      <c r="S8" s="9"/>
      <c r="T8" s="4"/>
      <c r="U8" s="4"/>
      <c r="V8" s="4"/>
      <c r="W8" s="1" t="s">
        <v>15</v>
      </c>
      <c r="X8" s="10"/>
      <c r="Y8" s="10"/>
      <c r="Z8" s="10"/>
      <c r="AA8" s="9"/>
    </row>
    <row r="9" spans="1:29" s="1" customFormat="1" ht="19.2" customHeight="1">
      <c r="C9" s="12"/>
      <c r="D9" s="12"/>
      <c r="E9" s="12"/>
      <c r="F9" s="12"/>
      <c r="G9" s="12"/>
      <c r="H9" s="12"/>
      <c r="I9" s="12"/>
      <c r="J9" s="12"/>
      <c r="K9" s="12"/>
      <c r="L9" s="12"/>
      <c r="M9" s="12"/>
      <c r="N9" s="12"/>
      <c r="O9" s="390"/>
      <c r="P9" s="390"/>
      <c r="Q9" s="390"/>
      <c r="R9" s="12"/>
      <c r="S9" s="9"/>
      <c r="T9" s="12"/>
      <c r="U9" s="12"/>
      <c r="V9" s="12"/>
      <c r="W9" s="1" t="s">
        <v>16</v>
      </c>
      <c r="X9" s="13"/>
      <c r="Y9" s="14"/>
      <c r="Z9" s="14"/>
      <c r="AA9" s="9"/>
    </row>
    <row r="10" spans="1:29" s="1" customFormat="1" ht="19.2" customHeight="1">
      <c r="B10" s="391"/>
      <c r="C10" s="390"/>
      <c r="D10" s="390"/>
      <c r="E10" s="390"/>
      <c r="F10" s="392"/>
      <c r="G10" s="392"/>
      <c r="H10" s="392"/>
      <c r="I10" s="15"/>
      <c r="J10" s="15"/>
      <c r="K10" s="15"/>
      <c r="L10" s="15"/>
      <c r="M10" s="15"/>
      <c r="N10" s="15"/>
      <c r="O10" s="393" t="str">
        <f>IF(B5="English","Supplier's code No.:",IF(B5="中国語","供应商编码:","取引先コードNo.:"))</f>
        <v>Supplier's code No.:</v>
      </c>
      <c r="P10" s="393"/>
      <c r="Q10" s="393"/>
      <c r="R10" s="15"/>
      <c r="S10" s="16"/>
      <c r="T10" s="15"/>
      <c r="W10" s="17"/>
      <c r="X10" s="17"/>
      <c r="Y10" s="17"/>
      <c r="Z10" s="17"/>
      <c r="AA10" s="16"/>
    </row>
    <row r="11" spans="1:29" s="1" customFormat="1" ht="19.2" customHeight="1">
      <c r="B11" s="378"/>
      <c r="C11" s="379"/>
      <c r="D11" s="379"/>
      <c r="E11" s="379"/>
      <c r="F11" s="380"/>
      <c r="G11" s="380"/>
      <c r="H11" s="380"/>
      <c r="I11" s="11"/>
      <c r="J11" s="11"/>
      <c r="K11" s="11"/>
      <c r="L11" s="11"/>
      <c r="M11" s="11"/>
      <c r="N11" s="11"/>
      <c r="O11" s="381"/>
      <c r="P11" s="381"/>
      <c r="Q11" s="381"/>
      <c r="R11" s="11"/>
      <c r="S11" s="18"/>
      <c r="T11" s="15"/>
      <c r="V11" s="19"/>
      <c r="W11" s="18"/>
      <c r="X11" s="18"/>
      <c r="Y11" s="18"/>
      <c r="Z11" s="18"/>
      <c r="AA11" s="18"/>
      <c r="AB11" s="116"/>
      <c r="AC11" s="116"/>
    </row>
    <row r="12" spans="1:29" s="1" customFormat="1" ht="10.199999999999999" customHeight="1">
      <c r="B12" s="20"/>
      <c r="C12" s="21"/>
      <c r="D12" s="21"/>
      <c r="E12" s="21"/>
      <c r="F12" s="21"/>
      <c r="G12" s="21"/>
      <c r="H12" s="21"/>
      <c r="I12" s="21"/>
      <c r="J12" s="21"/>
      <c r="K12" s="21"/>
      <c r="L12" s="21"/>
      <c r="M12" s="21"/>
      <c r="N12" s="22"/>
      <c r="O12" s="22"/>
      <c r="P12" s="9"/>
      <c r="Q12" s="23"/>
      <c r="R12" s="23"/>
      <c r="S12" s="22"/>
      <c r="T12" s="22"/>
      <c r="V12" s="24"/>
      <c r="W12" s="18"/>
      <c r="X12" s="18"/>
      <c r="Y12" s="18"/>
      <c r="Z12" s="18"/>
      <c r="AA12" s="18"/>
      <c r="AB12" s="116"/>
      <c r="AC12" s="116"/>
    </row>
    <row r="13" spans="1:29" s="1" customFormat="1" ht="15" customHeight="1">
      <c r="B13" s="25" t="str">
        <f>IF(B5="English","[Manufacturer to fill out］",IF(B5="中国語","[提出源记入栏］","[提出元記入欄］"))</f>
        <v>[Manufacturer to fill out］</v>
      </c>
      <c r="C13" s="7"/>
      <c r="E13" s="7"/>
      <c r="F13" s="7"/>
      <c r="G13" s="7"/>
      <c r="H13" s="7"/>
      <c r="I13" s="26"/>
      <c r="J13" s="26"/>
      <c r="K13" s="26"/>
      <c r="L13" s="26"/>
      <c r="M13" s="27"/>
      <c r="N13" s="28"/>
      <c r="O13" s="28"/>
      <c r="P13" s="3"/>
      <c r="T13" s="25"/>
      <c r="U13" s="29"/>
      <c r="AB13" s="116"/>
    </row>
    <row r="14" spans="1:29" s="1" customFormat="1" ht="19.2" customHeight="1">
      <c r="A14" s="3"/>
      <c r="B14" s="231" t="str">
        <f>IF(B5="English","Date(yy.mm.dd)",IF(B5="中国語","发行日","発行日"))</f>
        <v>Date(yy.mm.dd)</v>
      </c>
      <c r="C14" s="364"/>
      <c r="D14" s="382" t="s">
        <v>1</v>
      </c>
      <c r="E14" s="383"/>
      <c r="F14" s="383"/>
      <c r="G14" s="383"/>
      <c r="H14" s="383"/>
      <c r="I14" s="231" t="str">
        <f>IF(B5="English","E-mail",IF(B5="中国語","邮箱地址","メールアドレス"))</f>
        <v>E-mail</v>
      </c>
      <c r="J14" s="374"/>
      <c r="K14" s="374"/>
      <c r="L14" s="374"/>
      <c r="M14" s="375"/>
      <c r="N14" s="365" t="s">
        <v>2</v>
      </c>
      <c r="O14" s="376"/>
      <c r="P14" s="376"/>
      <c r="Q14" s="376"/>
      <c r="R14" s="30"/>
      <c r="S14" s="30"/>
      <c r="U14" s="116"/>
      <c r="V14" s="116"/>
      <c r="W14" s="116"/>
      <c r="X14" s="116"/>
      <c r="Y14" s="116"/>
    </row>
    <row r="15" spans="1:29" s="1" customFormat="1" ht="19.2" customHeight="1">
      <c r="A15" s="3"/>
      <c r="B15" s="231" t="str">
        <f>IF(B5="English","Company name",IF(B5="中国語","公司名称","会社名"))</f>
        <v>Company name</v>
      </c>
      <c r="C15" s="364"/>
      <c r="D15" s="365" t="s">
        <v>1</v>
      </c>
      <c r="E15" s="366"/>
      <c r="F15" s="366"/>
      <c r="G15" s="366"/>
      <c r="H15" s="366"/>
      <c r="I15" s="231" t="str">
        <f>IF(B5="English","Phone number",IF(B5="中国語","电话号码","電話番号"))</f>
        <v>Phone number</v>
      </c>
      <c r="J15" s="374"/>
      <c r="K15" s="374"/>
      <c r="L15" s="374"/>
      <c r="M15" s="375"/>
      <c r="N15" s="365"/>
      <c r="O15" s="376"/>
      <c r="P15" s="376"/>
      <c r="Q15" s="376"/>
      <c r="R15" s="30"/>
      <c r="S15" s="30"/>
      <c r="U15" s="116"/>
      <c r="V15" s="116"/>
      <c r="W15" s="116"/>
      <c r="X15" s="116"/>
      <c r="Y15" s="116"/>
    </row>
    <row r="16" spans="1:29" s="1" customFormat="1" ht="19.2" customHeight="1">
      <c r="A16" s="3"/>
      <c r="B16" s="231" t="str">
        <f>IF(B5="English","Division name",IF(B5="中国語","部门名称","部署名"))</f>
        <v>Division name</v>
      </c>
      <c r="C16" s="364"/>
      <c r="D16" s="365" t="s">
        <v>2</v>
      </c>
      <c r="E16" s="366"/>
      <c r="F16" s="366"/>
      <c r="G16" s="366"/>
      <c r="H16" s="366"/>
      <c r="I16" s="231" t="str">
        <f>IF(B5="English","Responsible person (in block)",IF(B5="中国語","责任者名","責任者名"))</f>
        <v>Responsible person (in block)</v>
      </c>
      <c r="J16" s="374"/>
      <c r="K16" s="374"/>
      <c r="L16" s="374"/>
      <c r="M16" s="375"/>
      <c r="N16" s="365" t="s">
        <v>2</v>
      </c>
      <c r="O16" s="377"/>
      <c r="P16" s="377"/>
      <c r="Q16" s="377"/>
      <c r="R16" s="30"/>
      <c r="S16" s="30"/>
      <c r="U16" s="116"/>
      <c r="V16" s="116"/>
      <c r="W16" s="116"/>
      <c r="X16" s="116"/>
      <c r="Y16" s="116"/>
    </row>
    <row r="17" spans="1:27" s="1" customFormat="1" ht="19.2" customHeight="1">
      <c r="B17" s="231" t="str">
        <f>IF(B5="English","Written by ",IF(B5="中国語","填写者名","記入者名"))</f>
        <v xml:space="preserve">Written by </v>
      </c>
      <c r="C17" s="364"/>
      <c r="D17" s="365" t="s">
        <v>1</v>
      </c>
      <c r="E17" s="366"/>
      <c r="F17" s="366"/>
      <c r="G17" s="366"/>
      <c r="H17" s="366"/>
      <c r="I17" s="294" t="str">
        <f>IF(B5="English","Signature",IF(B5="中国語","盖章","印"))</f>
        <v>Signature</v>
      </c>
      <c r="J17" s="367"/>
      <c r="K17" s="367"/>
      <c r="L17" s="367"/>
      <c r="M17" s="368"/>
      <c r="N17" s="369" t="str">
        <f>IF(B5="English","",IF(B5="中国語","盖章","印"))</f>
        <v/>
      </c>
      <c r="O17" s="370"/>
      <c r="P17" s="370"/>
      <c r="Q17" s="370"/>
      <c r="R17" s="3"/>
      <c r="S17" s="3"/>
    </row>
    <row r="18" spans="1:27" s="1" customFormat="1" ht="10.199999999999999" customHeight="1">
      <c r="O18" s="27"/>
      <c r="P18" s="28"/>
      <c r="Q18" s="28"/>
      <c r="AA18" s="31"/>
    </row>
    <row r="19" spans="1:27" s="1" customFormat="1" ht="14.7" customHeight="1">
      <c r="A19" s="32"/>
      <c r="B19" s="33" t="str">
        <f>IF(B5="English"," Part name or Part number",IF(B5="中国語","品名・品番号・图番号・条款编号","品名・品番・図番・アイテムコード"))</f>
        <v xml:space="preserve"> Part name or Part number</v>
      </c>
      <c r="C19" s="32"/>
      <c r="I19" s="34"/>
      <c r="Q19" s="35"/>
    </row>
    <row r="20" spans="1:27" s="1" customFormat="1" ht="19.2" customHeight="1">
      <c r="B20" s="371" t="str">
        <f>IF(B5="English","Our part name, Manufacturer :",IF(B5="中国語","本公司品名(厂家名):","弊社品名(メーカー名)："))</f>
        <v>Our part name, Manufacturer :</v>
      </c>
      <c r="C20" s="372"/>
      <c r="D20" s="373"/>
      <c r="E20" s="373"/>
      <c r="F20" s="373"/>
      <c r="G20" s="373"/>
      <c r="H20" s="371"/>
      <c r="I20" s="287" t="str">
        <f>IF(B5="English","Our part, drawing number :",IF(B5="中国語","本公司品番号, 图番 :","弊社品番,図番等："))</f>
        <v>Our part, drawing number :</v>
      </c>
      <c r="J20" s="371"/>
      <c r="K20" s="371"/>
      <c r="L20" s="371"/>
      <c r="M20" s="371"/>
      <c r="N20" s="362"/>
      <c r="O20" s="363"/>
      <c r="P20" s="363"/>
      <c r="Q20" s="363"/>
      <c r="R20" s="36"/>
      <c r="S20" s="36"/>
    </row>
    <row r="21" spans="1:27" s="1" customFormat="1" ht="19.2" customHeight="1">
      <c r="B21" s="358" t="str">
        <f>IF(B5="English","MinebeaMitsumi part name:",IF(B5="中国語","美蓓亚三美G 品名:","ミネベアミツミG品名："))</f>
        <v>MinebeaMitsumi part name:</v>
      </c>
      <c r="C21" s="359"/>
      <c r="D21" s="360"/>
      <c r="E21" s="360"/>
      <c r="F21" s="360"/>
      <c r="G21" s="360"/>
      <c r="H21" s="358"/>
      <c r="I21" s="361" t="str">
        <f>IF(B5="English","MinebeaMitsumi G part No.:",IF(B5="中国語","美蓓亚三美G 品番:","ミネベアミツミG品番："))</f>
        <v>MinebeaMitsumi G part No.:</v>
      </c>
      <c r="J21" s="358"/>
      <c r="K21" s="358"/>
      <c r="L21" s="358"/>
      <c r="M21" s="358"/>
      <c r="N21" s="362"/>
      <c r="O21" s="363"/>
      <c r="P21" s="363"/>
      <c r="Q21" s="363"/>
      <c r="R21" s="37"/>
      <c r="S21" s="37"/>
    </row>
    <row r="22" spans="1:27" s="1" customFormat="1" ht="19.2" customHeight="1">
      <c r="B22" s="358" t="str">
        <f>IF(B5="English","MinebeaMitsumi Drawing No.:",IF(B5="中国語","美蓓亚三美G 图番","ミネベアミツミG図番："))</f>
        <v>MinebeaMitsumi Drawing No.:</v>
      </c>
      <c r="C22" s="359"/>
      <c r="D22" s="360"/>
      <c r="E22" s="360"/>
      <c r="F22" s="360"/>
      <c r="G22" s="360"/>
      <c r="H22" s="358"/>
      <c r="I22" s="259" t="str">
        <f>IF(B5="English","MinebeaMitsumi Item code",IF(B5="中国語","美蓓亚三美条款编号","ミネベアミツミGアイテムコード："))</f>
        <v>MinebeaMitsumi Item code</v>
      </c>
      <c r="J22" s="358"/>
      <c r="K22" s="358"/>
      <c r="L22" s="358"/>
      <c r="M22" s="358"/>
      <c r="N22" s="362"/>
      <c r="O22" s="363"/>
      <c r="P22" s="363"/>
      <c r="Q22" s="363"/>
      <c r="R22" s="37"/>
      <c r="S22" s="37"/>
    </row>
    <row r="23" spans="1:27" ht="19.2" customHeight="1">
      <c r="A23" s="38"/>
      <c r="B23" s="11"/>
      <c r="C23" s="39"/>
      <c r="D23" s="39"/>
      <c r="E23" s="39"/>
      <c r="F23" s="39"/>
      <c r="G23" s="39"/>
      <c r="H23" s="39"/>
      <c r="I23" s="40"/>
      <c r="J23" s="40"/>
      <c r="K23" s="40"/>
      <c r="L23" s="40"/>
      <c r="M23" s="41"/>
      <c r="N23" s="41"/>
      <c r="O23" s="42"/>
      <c r="P23" s="43"/>
      <c r="Q23" s="44"/>
      <c r="R23" s="44"/>
      <c r="S23" s="45"/>
    </row>
    <row r="24" spans="1:27" ht="19.2" customHeight="1">
      <c r="A24" s="47"/>
      <c r="B24" s="346" t="str">
        <f>IF(B5="English","Product Mass",IF(B5="中国語","产品质量","製品質量"))</f>
        <v>Product Mass</v>
      </c>
      <c r="C24" s="347"/>
      <c r="D24" s="106"/>
      <c r="E24" s="48" t="s">
        <v>19</v>
      </c>
      <c r="F24" s="49" t="s">
        <v>20</v>
      </c>
      <c r="G24" s="50" t="s">
        <v>4</v>
      </c>
      <c r="H24" s="51"/>
      <c r="I24" s="52"/>
      <c r="J24" s="52"/>
      <c r="K24" s="52"/>
      <c r="L24" s="52"/>
    </row>
    <row r="25" spans="1:27" ht="10.199999999999999" customHeight="1">
      <c r="A25" s="47"/>
      <c r="B25" s="30"/>
      <c r="C25" s="30"/>
      <c r="D25" s="47"/>
      <c r="E25" s="47"/>
      <c r="F25" s="47"/>
      <c r="G25" s="47"/>
      <c r="H25" s="51"/>
      <c r="I25" s="52"/>
      <c r="J25" s="52"/>
      <c r="K25" s="52"/>
      <c r="L25" s="52"/>
    </row>
    <row r="26" spans="1:27" s="53" customFormat="1" ht="12" hidden="1" customHeight="1">
      <c r="B26" s="54" t="s">
        <v>12</v>
      </c>
      <c r="C26" s="55"/>
      <c r="D26" s="55"/>
      <c r="E26" s="55"/>
      <c r="F26" s="55"/>
      <c r="G26" s="55"/>
      <c r="H26" s="55"/>
      <c r="I26" s="55"/>
      <c r="J26" s="55"/>
      <c r="K26" s="55"/>
      <c r="L26" s="55"/>
      <c r="M26" s="55"/>
      <c r="N26" s="55"/>
      <c r="O26" s="55"/>
      <c r="P26" s="55"/>
      <c r="Q26" s="55"/>
      <c r="R26" s="55"/>
      <c r="S26" s="55"/>
      <c r="T26" s="55"/>
    </row>
    <row r="27" spans="1:27" s="53" customFormat="1" ht="12" hidden="1" customHeight="1">
      <c r="B27" s="55" t="str">
        <f>IF(B5="English","Main Component",IF(B5="中国語","主成分","主成分"))</f>
        <v>Main Component</v>
      </c>
      <c r="C27" s="55"/>
      <c r="D27" s="55"/>
      <c r="E27" s="55"/>
      <c r="F27" s="55"/>
      <c r="G27" s="55"/>
      <c r="H27" s="55"/>
      <c r="I27" s="55"/>
      <c r="J27" s="55"/>
      <c r="K27" s="55"/>
      <c r="L27" s="55"/>
      <c r="M27" s="103" t="str">
        <f>IF(B5="English","base_material",IF(B5="中国語","母材","母材"))</f>
        <v>base_material</v>
      </c>
      <c r="N27" s="103" t="str">
        <f>IF(B5="English","clad",IF(B5="中国語","包覆","被覆"))</f>
        <v>clad</v>
      </c>
      <c r="O27" s="103" t="str">
        <f>IF(B5="English","attached_agent",IF(B5="中国語","附着剤","付着剤"))</f>
        <v>attached_agent</v>
      </c>
      <c r="P27" s="103" t="str">
        <f>IF(B5="English","inner_preparations",IF(B5="中国語","包含剂_适用于运转用配制品","内包剤_運転用調剤などに適用"))</f>
        <v>inner_preparations</v>
      </c>
      <c r="Q27" s="103" t="str">
        <f>IF(B5="English","solder_joint",IF(B5="中国語","焊点","はんだ接合"))</f>
        <v>solder_joint</v>
      </c>
      <c r="R27" s="103" t="str">
        <f>IF(B5="English","plating",IF(B5="中国語","表面处理_电镀","表面処理系_めっき"))</f>
        <v>plating</v>
      </c>
      <c r="S27" s="104" t="str">
        <f>IF(B5="English","chemical_conversion_treatment",IF(B5="中国語","表面处理_化学合成处理","表面処理系_化成処理"))</f>
        <v>chemical_conversion_treatment</v>
      </c>
      <c r="T27" s="104" t="str">
        <f>IF(B5="English","flame_spray_coating",IF(B5="中国語","表面处理_喷镀","表面処理系_溶射"))</f>
        <v>flame_spray_coating</v>
      </c>
      <c r="U27" s="104" t="str">
        <f>IF(B5="English","PVD(Physical_Vapor_Deposition)",IF(B5="中国語","表面处理\PVD处理(物的蒸镀)","表面処理系_PVC処理"))</f>
        <v>PVD(Physical_Vapor_Deposition)</v>
      </c>
      <c r="V27" s="104" t="str">
        <f>IF(B5="English","CVD(Chemical_Vapor_Deposition)",IF(B5="中国語","表面处理_CVD处理_化学的蒸镀","表面処理系_CVD処理"))</f>
        <v>CVD(Chemical_Vapor_Deposition)</v>
      </c>
      <c r="W27" s="104" t="str">
        <f>IF(B5="English","painting",IF(B5="中国語","表面处理_涂装","表面処理系_塗装"))</f>
        <v>painting</v>
      </c>
      <c r="X27" s="104" t="str">
        <f>IF(B5="English","marking",IF(B5="中国語","表面处理_标印","表面処理系_マーキング"))</f>
        <v>marking</v>
      </c>
    </row>
    <row r="28" spans="1:27" s="53" customFormat="1" ht="12" hidden="1" customHeight="1">
      <c r="B28" s="55" t="str">
        <f>IF(B5="English","Metal, Alloy Component",IF(B5="中国語","金属、合金成分","金属、合金成分"))</f>
        <v>Metal, Alloy Component</v>
      </c>
      <c r="C28" s="55"/>
      <c r="D28" s="55"/>
      <c r="E28" s="55"/>
      <c r="F28" s="55"/>
      <c r="G28" s="55"/>
      <c r="H28" s="55"/>
      <c r="I28" s="55"/>
      <c r="J28" s="55"/>
      <c r="K28" s="55"/>
      <c r="L28" s="55"/>
      <c r="M28" s="103" t="str">
        <f>IF(B5="English","highly alloyed steel",IF(B5="中国語","高合金钢","高合金鋼"))</f>
        <v>highly alloyed steel</v>
      </c>
      <c r="N28" s="103" t="str">
        <f>IF(B5="English","Ceramics",IF(B5="中国語","陶瓷","セラミック"))</f>
        <v>Ceramics</v>
      </c>
      <c r="O28" s="103" t="str">
        <f>IF(B5="English","filled Thermoplastics",IF(B5="中国語","含有填料带（填料）的热可塑树脂","フィラー(充填材)を含有する熱可塑性樹脂"))</f>
        <v>filled Thermoplastics</v>
      </c>
      <c r="P28" s="103" t="str">
        <f>IF(B5="English","Refrigerant",IF(B5="中国語","气体(制冷剂等)","冷媒"))</f>
        <v>Refrigerant</v>
      </c>
      <c r="Q28" s="103" t="str">
        <f>IF(B5="English","Sn-Pb solder",IF(B5="中国語","有铅焊锡","含鉛はんだ"))</f>
        <v>Sn-Pb solder</v>
      </c>
      <c r="R28" s="103" t="str">
        <f>IF(B5="English","Zinc plating",IF(B5="中国語","镀锌","亜鉛めっき"))</f>
        <v>Zinc plating</v>
      </c>
      <c r="S28" s="103" t="str">
        <f>IF(B5="English","Hexavalent chromate film",IF(B5="中国語","铬酸盐膜,六价铬处理","クロメート被膜・６価クロム処理"))</f>
        <v>Hexavalent chromate film</v>
      </c>
      <c r="T28" s="103" t="str">
        <f>IF(B5="English","Zinc spray coating",IF(B5="中国語","喷镀锌","亜鉛溶射"))</f>
        <v>Zinc spray coating</v>
      </c>
      <c r="U28" s="104" t="str">
        <f>IF(B5="English","CrN Coatings",IF(B5="中国語","CrN 涂层","CrN コーティング"))</f>
        <v>CrN Coatings</v>
      </c>
      <c r="V28" s="104" t="str">
        <f>IF(B5="English","CrN Coatings",IF(B5="中国語","CrN 涂层","CrN コーティング"))</f>
        <v>CrN Coatings</v>
      </c>
      <c r="W28" s="104" t="str">
        <f>IF(B5="English","Painted resin",IF(B5="中国語","涂膜树脂","塗膜樹脂"))</f>
        <v>Painted resin</v>
      </c>
      <c r="X28" s="104" t="str">
        <f>IF(B5="English","Painted resin",IF(B5="中国語","涂膜树脂","塗膜樹脂"))</f>
        <v>Painted resin</v>
      </c>
    </row>
    <row r="29" spans="1:27" s="53" customFormat="1" ht="12" hidden="1" customHeight="1">
      <c r="B29" s="55" t="str">
        <f>IF(B5="English","Resistance Component",IF(B5="中国語","抵抗成分","抵抗成分"))</f>
        <v>Resistance Component</v>
      </c>
      <c r="C29" s="55"/>
      <c r="D29" s="55"/>
      <c r="E29" s="55"/>
      <c r="F29" s="55"/>
      <c r="G29" s="55"/>
      <c r="H29" s="55"/>
      <c r="I29" s="55"/>
      <c r="J29" s="55"/>
      <c r="K29" s="55"/>
      <c r="L29" s="55"/>
      <c r="M29" s="103" t="str">
        <f>IF(B5="English","Highly alloyed cast iron",IF(B5="中国語","高合金铸铁","高合金鋳鉄"))</f>
        <v>Highly alloyed cast iron</v>
      </c>
      <c r="N29" s="103" t="str">
        <f>IF(B5="English","Glass",IF(B5="中国語","玻璃","ガラス"))</f>
        <v>Glass</v>
      </c>
      <c r="O29" s="103" t="str">
        <f>IF(B5="English","PE (Polyethylene)",IF(B5="中国語","聚乙烯(PE)","PE(ポリエチレン)"))</f>
        <v>PE (Polyethylene)</v>
      </c>
      <c r="P29" s="103" t="str">
        <f>IF(B5="English","Lubricants,Brake fluid, etc",IF(B5="中国語","液体(润滑剂、制动液等)","潤滑剤、ブレーキフルード、他"))</f>
        <v>Lubricants,Brake fluid, etc</v>
      </c>
      <c r="Q29" s="103" t="str">
        <f>IF(B5="English","Lead-free solder",IF(B5="中国語","无铅焊锡","非鉛はんだ"))</f>
        <v>Lead-free solder</v>
      </c>
      <c r="R29" s="103" t="str">
        <f>IF(B5="English","Nickel plating",IF(B5="中国語","镀镍","ニッケルめっき"))</f>
        <v>Nickel plating</v>
      </c>
      <c r="S29" s="103" t="str">
        <f>IF(B5="English","Trivalent Chromium Passivation",IF(B5="中国語","三价铬酸盐处理","３価クロメート処理"))</f>
        <v>Trivalent Chromium Passivation</v>
      </c>
      <c r="T29" s="103" t="str">
        <f>IF(B5="English","Aluminum spray coating",IF(B5="中国語","喷镀铝","アルミニウム溶射"))</f>
        <v>Aluminum spray coating</v>
      </c>
      <c r="U29" s="104" t="str">
        <f>IF(B5="English","DLC Coatings",IF(B5="中国語","DLC 涂层","DLC コーティング"))</f>
        <v>DLC Coatings</v>
      </c>
      <c r="V29" s="104" t="str">
        <f>IF(B5="English","DLC Coatings",IF(B5="中国語","DLC 涂层","DLC コーティング"))</f>
        <v>DLC Coatings</v>
      </c>
      <c r="W29" s="104" t="str">
        <f>IF(B5="English","Non electrolytically applied zinc flake coatings (Dacrotizing)",IF(B5="中国語","达克锈金属表面处理","ダクロ処理"))</f>
        <v>Non electrolytically applied zinc flake coatings (Dacrotizing)</v>
      </c>
      <c r="X29" s="104" t="str">
        <f>IF(B5="English","Non electrolytically applied zinc flake coatings (Dacrotizing)",IF(B5="中国語","达克锈金属表面处理","ダクロ処理"))</f>
        <v>Non electrolytically applied zinc flake coatings (Dacrotizing)</v>
      </c>
    </row>
    <row r="30" spans="1:27" s="53" customFormat="1" ht="12" hidden="1" customHeight="1">
      <c r="B30" s="55" t="str">
        <f>IF(B5="English","Dielectric Component",IF(B5="中国語","感应电体成分","誘電体成分"))</f>
        <v>Dielectric Component</v>
      </c>
      <c r="C30" s="55"/>
      <c r="D30" s="55"/>
      <c r="E30" s="55"/>
      <c r="F30" s="55"/>
      <c r="G30" s="55"/>
      <c r="H30" s="55"/>
      <c r="I30" s="55"/>
      <c r="J30" s="55"/>
      <c r="K30" s="55"/>
      <c r="L30" s="55"/>
      <c r="M30" s="103" t="str">
        <f>IF(B5="English","Steels/cast steel/sintered steel",IF(B5="中国語","钢铁/铸钢/烧结合金","鉄鋼/鋳鋼/焼結合金"))</f>
        <v>Steels/cast steel/sintered steel</v>
      </c>
      <c r="N30" s="103" t="str">
        <f>IF(B5="English","Other inorganic compounds",IF(B5="中国語","其它无机化合物","その他無機化合物"))</f>
        <v>Other inorganic compounds</v>
      </c>
      <c r="O30" s="103" t="str">
        <f>IF(B5="English","PP(Polypropylene)",IF(B5="中国語","聚丙烯 (PP)","PP(ポリプロピレン) "))</f>
        <v>PP(Polypropylene)</v>
      </c>
      <c r="P30" s="103" t="str">
        <f>IF(B5="English","Others (Powder,etc)",IF(B5="中国語","其他材料（粉末等）","その他材料（粉体ほか）"))</f>
        <v>Others (Powder,etc)</v>
      </c>
      <c r="Q30" s="103"/>
      <c r="R30" s="103" t="str">
        <f>IF(B5="English","Aluminum plating",IF(B5="中国語","镀铝","アルミニウムめっき"))</f>
        <v>Aluminum plating</v>
      </c>
      <c r="S30" s="103" t="str">
        <f>IF(B5="English","Chromium-free Passivation",IF(B5="中国語","无铬处理","クロムフリー処理"))</f>
        <v>Chromium-free Passivation</v>
      </c>
      <c r="T30" s="103" t="str">
        <f>IF(B5="English","Build-up thermal spraying",IF(B5="中国語","堆焊喷镀","肉盛溶射"))</f>
        <v>Build-up thermal spraying</v>
      </c>
      <c r="U30" s="104" t="str">
        <f>IF(B5="English","TiN Coatings",IF(B5="中国語","TiN 涂层","TiN コーティング"))</f>
        <v>TiN Coatings</v>
      </c>
      <c r="V30" s="104" t="str">
        <f>IF(B5="English","TiN Coatings",IF(B5="中国語","TiN 涂层","TiN コーティング"))</f>
        <v>TiN Coatings</v>
      </c>
      <c r="W30" s="104" t="str">
        <f>IF(B5="English","Coating (ceramics)",IF(B5="中国語","涂层（陶瓷）","コーティング（セラミックス）"))</f>
        <v>Coating (ceramics)</v>
      </c>
      <c r="X30" s="104" t="str">
        <f>IF(B5="English","Coating (ceramics)",IF(B5="中国語","涂层（陶瓷）","コーティング（セラミックス）"))</f>
        <v>Coating (ceramics)</v>
      </c>
    </row>
    <row r="31" spans="1:27" s="53" customFormat="1" ht="12" hidden="1" customHeight="1">
      <c r="B31" s="55" t="str">
        <f>IF(B5="English","Glass Component",IF(B5="中国語","玻璃成分","ガラス成分"))</f>
        <v>Glass Component</v>
      </c>
      <c r="C31" s="55"/>
      <c r="D31" s="55"/>
      <c r="E31" s="55"/>
      <c r="F31" s="55"/>
      <c r="G31" s="55"/>
      <c r="H31" s="55"/>
      <c r="I31" s="55"/>
      <c r="J31" s="55"/>
      <c r="K31" s="55"/>
      <c r="L31" s="55"/>
      <c r="M31" s="103" t="str">
        <f>IF(B5="English","unalloyed, low alloyed steel",IF(B5="中国語","非合金,低合金钢","非合金,低合金鋼"))</f>
        <v>unalloyed, low alloyed steel</v>
      </c>
      <c r="N31" s="103" t="str">
        <f>IF(B5="English","filled Thermoplastics",IF(B5="中国語","含有填料带（填料）的热可塑树脂","フィラー(充填材)を含有する熱可塑性樹脂"))</f>
        <v>filled Thermoplastics</v>
      </c>
      <c r="O31" s="103" t="str">
        <f>IF(B5="English","PS (Polystyrene)",IF(B5="聚苯乙烯 (PS)","部位名","PS(ポリスチレン)"))</f>
        <v>PS (Polystyrene)</v>
      </c>
      <c r="P31" s="104"/>
      <c r="Q31" s="103"/>
      <c r="R31" s="103" t="str">
        <f>IF(B5="English","Copper plating",IF(B5="中国語","镀铜","銅めっき"))</f>
        <v>Copper plating</v>
      </c>
      <c r="S31" s="103" t="str">
        <f>IF(B5="English","GEOMET Coating",IF(B5="中国語","GOMET(无铬)处理","ジオメット処理（ノンクロム）処理"))</f>
        <v>GEOMET Coating</v>
      </c>
      <c r="T31" s="103" t="str">
        <f>IF(B5="English","Thermal spraying of self-fluxing alloy SFCo",IF(B5="中国語","钴自熔性合金喷镀","コバルト自溶合金溶射"))</f>
        <v>Thermal spraying of self-fluxing alloy SFCo</v>
      </c>
      <c r="U31" s="104" t="str">
        <f>IF(B5="English","Gold vapor deposition film(Icd.Sputtering)",IF(B5="中国語","汽化镀金膜（包含喷溅）","金蒸着（スパッタを含む）"))</f>
        <v>Gold vapor deposition film(Icd.Sputtering)</v>
      </c>
      <c r="V31" s="104" t="str">
        <f>IF(B5="English","Gold vapor deposition film(Icd.Sputtering)",IF(B5="中国語","汽化镀金膜（包含喷溅）","金蒸着（スパッタを含む）"))</f>
        <v>Gold vapor deposition film(Icd.Sputtering)</v>
      </c>
      <c r="W31" s="104" t="str">
        <f>IF(B5="English","Coating (glass)",IF(B5="中国語","涂层（玻璃）","コーティング（ガラス）"))</f>
        <v>Coating (glass)</v>
      </c>
      <c r="X31" s="104" t="str">
        <f>IF(B5="English","Coating (glass)",IF(B5="中国語","涂层（玻璃）","コーティング（ガラス）"))</f>
        <v>Coating (glass)</v>
      </c>
    </row>
    <row r="32" spans="1:27" s="53" customFormat="1" ht="12" hidden="1" customHeight="1">
      <c r="B32" s="55" t="str">
        <f>IF(B5="English","Resin Component",IF(B5="中国語","树脂成分","樹脂成分"))</f>
        <v>Resin Component</v>
      </c>
      <c r="C32" s="55"/>
      <c r="D32" s="55"/>
      <c r="E32" s="55"/>
      <c r="F32" s="55"/>
      <c r="G32" s="55"/>
      <c r="H32" s="55"/>
      <c r="I32" s="55"/>
      <c r="J32" s="55"/>
      <c r="K32" s="55"/>
      <c r="L32" s="55"/>
      <c r="M32" s="103" t="str">
        <f>IF(B5="English","Cast iron",IF(B5="中国語","铸铁","鋳鉄"))</f>
        <v>Cast iron</v>
      </c>
      <c r="N32" s="103" t="str">
        <f>IF(B5="English","PE (Polyethylene)",IF(B5="中国語","聚乙烯(PE)","PE(ポリエチレン)"))</f>
        <v>PE (Polyethylene)</v>
      </c>
      <c r="O32" s="103" t="str">
        <f>IF(B5="English","PVC (Poly vinyl chloride)",IF(B5="中国語","聚氯乙烯 (PVC)","PVC(ポリ塩化ビニル)"))</f>
        <v>PVC (Poly vinyl chloride)</v>
      </c>
      <c r="P32" s="104"/>
      <c r="Q32" s="103"/>
      <c r="R32" s="103" t="str">
        <f>IF(B5="English","Tin plating",IF(B5="中国語","镀锡","スズめっき"))</f>
        <v>Tin plating</v>
      </c>
      <c r="S32" s="103" t="str">
        <f>IF(B5="English","BONDE Coating (Oxalic)",IF(B5="中国語","磷酸盐处理","シュウ酸ボンデ処理"))</f>
        <v>BONDE Coating (Oxalic)</v>
      </c>
      <c r="T32" s="103" t="str">
        <f>IF(B5="English","Thermal spraying of self-fluxing alloy SFWC",IF(B5="中国語","碳化钨自熔性合金喷镀","タングステンカーバイト自溶合金溶射"))</f>
        <v>Thermal spraying of self-fluxing alloy SFWC</v>
      </c>
      <c r="U32" s="104" t="str">
        <f>IF(B5="English","Vapor deposition film(Icd.Sputtering) of other noble or rare metals",IF(B5="中国語","金以外的贵金属、稀金属蒸镀膜（包含喷溅）","金以外の貴金属・希少金属蒸着（スパッタを含む）"))</f>
        <v>Vapor deposition film(Icd.Sputtering) of other noble or rare metals</v>
      </c>
      <c r="V32" s="104" t="str">
        <f>IF(B5="English","Vapor deposition film(Icd.Sputtering) of other noble or rare metals",IF(B5="中国語","金以外的贵金属、稀金属蒸镀膜（包含喷溅）","金以外の貴金属・希少金属蒸着（スパッタを含む）"))</f>
        <v>Vapor deposition film(Icd.Sputtering) of other noble or rare metals</v>
      </c>
      <c r="W32" s="104" t="str">
        <f>IF(B5="English","Coating (Other compounds)",IF(B5="中国語","涂层（其他复合材料）","コーティング（他の複合材）"))</f>
        <v>Coating (Other compounds)</v>
      </c>
      <c r="X32" s="104" t="str">
        <f>IF(B5="English","Coating (Other compounds)",IF(B5="中国語","涂层（其他复合材料）","コーティング（他の複合材）"))</f>
        <v>Coating (Other compounds)</v>
      </c>
    </row>
    <row r="33" spans="2:24" s="53" customFormat="1" ht="12" hidden="1" customHeight="1">
      <c r="B33" s="55" t="str">
        <f>IF(B5="English","Ceramics Component",IF(B5="中国語","陶瓷成分","セラミックス"))</f>
        <v>Ceramics Component</v>
      </c>
      <c r="C33" s="55"/>
      <c r="D33" s="55"/>
      <c r="E33" s="55"/>
      <c r="F33" s="55"/>
      <c r="G33" s="55"/>
      <c r="H33" s="55"/>
      <c r="I33" s="55"/>
      <c r="J33" s="55"/>
      <c r="K33" s="55"/>
      <c r="L33" s="55"/>
      <c r="M33" s="103" t="str">
        <f>IF(B5="English","Cast iron with lamellar graphite / tempered cast iron",IF(B5="中国語","片状石墨铸铁/可锻铸铁","片状黒鉛鋳鉄/可鍛鋳鉄"))</f>
        <v>Cast iron with lamellar graphite / tempered cast iron</v>
      </c>
      <c r="N33" s="103" t="str">
        <f>IF(B5="English","PP(Polypropylene)",IF(B5="中国語","聚丙烯 (PP)","PP(ポリプロピレン) "))</f>
        <v>PP(Polypropylene)</v>
      </c>
      <c r="O33" s="103" t="str">
        <f>IF(B5="English","PC (Polycarbonate)",IF(B5="中国語","聚碳酸酯 (PC)","PC(ポリカーボネート)"))</f>
        <v>PC (Polycarbonate)</v>
      </c>
      <c r="P33" s="104"/>
      <c r="Q33" s="103"/>
      <c r="R33" s="103" t="str">
        <f>IF(B5="English","Chromium plating",IF(B5="中国語","镀铬","クロムめっき"))</f>
        <v>Chromium plating</v>
      </c>
      <c r="S33" s="103" t="str">
        <f>IF(B5="English","ZAY Coating",IF(B5="中国語","ZAY 涂层处理","ZAY コート処理"))</f>
        <v>ZAY Coating</v>
      </c>
      <c r="T33" s="103" t="str">
        <f>IF(B5="English","Ceramic sprayed Coatings P-AO",IF(B5="中国語","氧化铝喷镀","酸化アルミニウム溶射"))</f>
        <v>Ceramic sprayed Coatings P-AO</v>
      </c>
      <c r="U33" s="104" t="str">
        <f>IF(B5="English","Other film coating of inorganic compounds",IF(B5="中国語","其他无机化合物的涂层","その他無機化合物のコーティング"))</f>
        <v>Other film coating of inorganic compounds</v>
      </c>
      <c r="V33" s="104" t="str">
        <f>IF(B5="English","Other film coating of inorganic compounds",IF(B5="中国語","其他无机化合物的涂层","その他無機化合物のコーティング"))</f>
        <v>Other film coating of inorganic compounds</v>
      </c>
      <c r="W33" s="104"/>
      <c r="X33" s="104"/>
    </row>
    <row r="34" spans="2:24" s="53" customFormat="1" ht="12" hidden="1" customHeight="1">
      <c r="B34" s="53" t="str">
        <f>IF(B5="English","Wiring Component",IF(B5="中国語","配线成分","配線成分"))</f>
        <v>Wiring Component</v>
      </c>
      <c r="C34" s="55"/>
      <c r="D34" s="55"/>
      <c r="E34" s="55"/>
      <c r="F34" s="55"/>
      <c r="G34" s="55"/>
      <c r="H34" s="55"/>
      <c r="I34" s="55"/>
      <c r="J34" s="55"/>
      <c r="K34" s="55"/>
      <c r="L34" s="55"/>
      <c r="M34" s="103" t="str">
        <f>IF(B5="English","Cast iron with nodular graphite / vermicular cast iron",IF(B5="中国語","球状石墨铸铁/蠕墨铸铁","球状黒鉛鋳鉄 /バーミキュラー鋳鉄"))</f>
        <v>Cast iron with nodular graphite / vermicular cast iron</v>
      </c>
      <c r="N34" s="103" t="str">
        <f>IF(B5="English","PS (Polystyrene)",IF(B5="聚苯乙烯 (PS)","部位名","PS(ポリスチレン)"))</f>
        <v>PS (Polystyrene)</v>
      </c>
      <c r="O34" s="103" t="str">
        <f>IF(B5="English","POM (Polyacetal)",IF(B5="中国語","聚缩醛 (POM)","POM(ポリアセタール)"))</f>
        <v>POM (Polyacetal)</v>
      </c>
      <c r="P34" s="104"/>
      <c r="Q34" s="103"/>
      <c r="R34" s="103" t="str">
        <f>IF(B5="English","Cobalt plating",IF(B5="中国語","镀钴","コバルトめっき"))</f>
        <v>Cobalt plating</v>
      </c>
      <c r="S34" s="103" t="str">
        <f>IF(B5="English","Anodic Oxidation Coatings",IF(B5="中国語","氧化铝膜处理","アルマイト処理"))</f>
        <v>Anodic Oxidation Coatings</v>
      </c>
      <c r="T34" s="103" t="str">
        <f>IF(B5="English","Ceramic sprayed Coatings P-CrO",IF(B5="中国語","氧化铬喷镀","酸化クロム溶射"))</f>
        <v>Ceramic sprayed Coatings P-CrO</v>
      </c>
      <c r="U34" s="104"/>
      <c r="V34" s="104"/>
      <c r="W34" s="104"/>
      <c r="X34" s="104"/>
    </row>
    <row r="35" spans="2:24" s="53" customFormat="1" ht="12" hidden="1" customHeight="1">
      <c r="B35" s="53" t="str">
        <f>IF(B5="English","Electrolytic Plating",IF(B5="中国語","电解电镀","電解メッキ"))</f>
        <v>Electrolytic Plating</v>
      </c>
      <c r="C35" s="55"/>
      <c r="D35" s="55"/>
      <c r="E35" s="55"/>
      <c r="F35" s="55"/>
      <c r="G35" s="55"/>
      <c r="H35" s="55"/>
      <c r="I35" s="55"/>
      <c r="J35" s="55"/>
      <c r="K35" s="55"/>
      <c r="L35" s="55"/>
      <c r="M35" s="103" t="str">
        <f>IF(B5="English","Cast aluminium alloys",IF(B5="中国語","铸造铝合金","鋳造アルミニウム合金"))</f>
        <v>Cast aluminium alloys</v>
      </c>
      <c r="N35" s="103" t="str">
        <f>IF(B5="English","PVC (Poly vinyl chloride)",IF(B5="中国語","聚氯乙烯 (PVC)","PVC(ポリ塩化ビニル)"))</f>
        <v>PVC (Poly vinyl chloride)</v>
      </c>
      <c r="O35" s="103" t="str">
        <f>IF(B5="English","A(B)S Poly(acrylonitrile (-butadiene)-styrene)",IF(B5="中国語","丙烯腈丁二烯苯乙烯树脂 (ABS)","ABS"))</f>
        <v>A(B)S Poly(acrylonitrile (-butadiene)-styrene)</v>
      </c>
      <c r="P35" s="104"/>
      <c r="Q35" s="103"/>
      <c r="R35" s="103" t="str">
        <f>IF(B5="English","Gold plating",IF(B5="中国語","镀金","金めっき"))</f>
        <v>Gold plating</v>
      </c>
      <c r="S35" s="103" t="str">
        <f>IF(B5="English","Combined coatings of anodic oxide and organic coatings",IF(B5="中国語","氧化铝膜涂层处理","アルマイト塗装処理"))</f>
        <v>Combined coatings of anodic oxide and organic coatings</v>
      </c>
      <c r="T35" s="103" t="str">
        <f>IF(B5="English","Ceramic sprayed Coatings P-AO-MgO",IF(B5="中国語","尖晶石喷镀","スピネル溶射"))</f>
        <v>Ceramic sprayed Coatings P-AO-MgO</v>
      </c>
      <c r="U35" s="104"/>
      <c r="V35" s="104"/>
      <c r="W35" s="104"/>
      <c r="X35" s="104"/>
    </row>
    <row r="36" spans="2:24" s="53" customFormat="1" ht="12" hidden="1" customHeight="1">
      <c r="B36" s="53" t="str">
        <f>IF(B5="English","Non-Electrolytic plating ",IF(B5="中国語","无电解电镀","無電解メッキ"))</f>
        <v xml:space="preserve">Non-Electrolytic plating </v>
      </c>
      <c r="C36" s="55"/>
      <c r="D36" s="55"/>
      <c r="E36" s="55"/>
      <c r="F36" s="55"/>
      <c r="G36" s="55"/>
      <c r="H36" s="55"/>
      <c r="I36" s="55"/>
      <c r="J36" s="55"/>
      <c r="K36" s="55"/>
      <c r="L36" s="55"/>
      <c r="M36" s="103" t="str">
        <f>IF(B5="English","Wrought aluminium alloys",IF(B5="中国語","锻造铝合金","鍛造アルミニウム合金"))</f>
        <v>Wrought aluminium alloys</v>
      </c>
      <c r="N36" s="103" t="str">
        <f>IF(B5="English","PC (Polycarbonate)",IF(B5="中国語","聚碳酸酯 (PC)","PC(ポリカーボネート)"))</f>
        <v>PC (Polycarbonate)</v>
      </c>
      <c r="O36" s="103" t="str">
        <f>IF(B5="English","PA (Polyamide)",IF(B5="中国語","聚酰胺 (PA)","PA(ポリアミド)"))</f>
        <v>PA (Polyamide)</v>
      </c>
      <c r="P36" s="104"/>
      <c r="Q36" s="103"/>
      <c r="R36" s="103" t="str">
        <f>IF(B5="English","Platinum plating",IF(B5="中国語","镀铂","白金めっき"))</f>
        <v>Platinum plating</v>
      </c>
      <c r="S36" s="103" t="str">
        <f>IF(B5="English","Corrosion protection of magnesium alloys",IF(B5="中国語","防腐蚀处理","マグネシウム防食処理"))</f>
        <v>Corrosion protection of magnesium alloys</v>
      </c>
      <c r="T36" s="103" t="str">
        <f>IF(B5="English","Ceramic sprayed Coatings P-ZrO",IF(B5="中国語","氧化锆喷镀","酸化ジルコニウム溶射"))</f>
        <v>Ceramic sprayed Coatings P-ZrO</v>
      </c>
      <c r="U36" s="104"/>
      <c r="V36" s="104"/>
      <c r="W36" s="104"/>
      <c r="X36" s="104"/>
    </row>
    <row r="37" spans="2:24" s="53" customFormat="1" ht="12" hidden="1" customHeight="1">
      <c r="B37" s="55" t="str">
        <f>IF(B5="English","Dyes, Pigment",IF(B5="中国語","颜料、着色料","顔料、着色料"))</f>
        <v>Dyes, Pigment</v>
      </c>
      <c r="C37" s="55"/>
      <c r="D37" s="55"/>
      <c r="E37" s="55"/>
      <c r="F37" s="55"/>
      <c r="G37" s="55"/>
      <c r="H37" s="55"/>
      <c r="I37" s="55"/>
      <c r="J37" s="55"/>
      <c r="K37" s="55"/>
      <c r="L37" s="55"/>
      <c r="M37" s="103" t="str">
        <f>IF(B5="English","Cast magnesium alloys",IF(B5="中国語","铸造镁合金","鋳造マグネシウム合金"))</f>
        <v>Cast magnesium alloys</v>
      </c>
      <c r="N37" s="103" t="str">
        <f>IF(B5="English","POM (Polyacetal)",IF(B5="中国語","聚缩醛 (POM)","POM(ポリアセタール)"))</f>
        <v>POM (Polyacetal)</v>
      </c>
      <c r="O37" s="103" t="str">
        <f>IF(B5="English","PET (Poly ethylene terephthalate )",IF(B5="中国語","聚对苯二甲酸乙二醇酯 (PET)","PET(ポリエチレンテレフタレート)"))</f>
        <v>PET (Poly ethylene terephthalate )</v>
      </c>
      <c r="P37" s="104"/>
      <c r="Q37" s="103"/>
      <c r="R37" s="103" t="str">
        <f>IF(B5="English","Paradium plating",IF(B5="中国語","镀钯","パラジウムめっき"))</f>
        <v>Paradium plating</v>
      </c>
      <c r="S37" s="103" t="str">
        <f>IF(B5="English","Corrosion protection of aluminium alloys",IF(B5="中国語","铝防腐蚀处理","アルミニウム防食処理"))</f>
        <v>Corrosion protection of aluminium alloys</v>
      </c>
      <c r="T37" s="103" t="str">
        <f>IF(B5="English","Cermet thermal spraying C-WC-Co",IF(B5="中国語","碳化钨-钴喷镀","炭化タングステン・コバルト溶射"))</f>
        <v>Cermet thermal spraying C-WC-Co</v>
      </c>
      <c r="U37" s="104"/>
      <c r="V37" s="104"/>
      <c r="W37" s="104"/>
      <c r="X37" s="104"/>
    </row>
    <row r="38" spans="2:24" s="53" customFormat="1" ht="12" hidden="1" customHeight="1">
      <c r="B38" s="55" t="str">
        <f>IF(B5="English","Catalyst",IF(B5="中国語","催化","触媒"))</f>
        <v>Catalyst</v>
      </c>
      <c r="C38" s="55"/>
      <c r="D38" s="55"/>
      <c r="E38" s="55"/>
      <c r="F38" s="55"/>
      <c r="G38" s="55"/>
      <c r="H38" s="55"/>
      <c r="I38" s="55"/>
      <c r="J38" s="55"/>
      <c r="K38" s="55"/>
      <c r="L38" s="55"/>
      <c r="M38" s="103" t="str">
        <f>IF(B5="English","Wrought magnesium alloys",IF(B5="中国語","锻造镁合金","鍛造マグネシウム合金"))</f>
        <v>Wrought magnesium alloys</v>
      </c>
      <c r="N38" s="103" t="str">
        <f>IF(B5="English","A(B)S Poly(acrylonitrile (-butadiene)-styrene)",IF(B5="中国語","丙烯腈丁二烯苯乙烯树脂 (ABS)","ABS"))</f>
        <v>A(B)S Poly(acrylonitrile (-butadiene)-styrene)</v>
      </c>
      <c r="O38" s="103" t="str">
        <f>IF(B5="English","PPE ((Modified) polyphenylene ether)",IF(B5="中国語","聚苯醚 (PPE)","PPE"))</f>
        <v>PPE ((Modified) polyphenylene ether)</v>
      </c>
      <c r="P38" s="104"/>
      <c r="Q38" s="103"/>
      <c r="R38" s="103" t="str">
        <f>IF(B5="English","Rhodium plating",IF(B5="中国語","镀铑","ロジウムめっき"))</f>
        <v>Rhodium plating</v>
      </c>
      <c r="S38" s="103" t="str">
        <f>IF(B5="English","Black Oxide Coatings",IF(B5="中国語","发黑（四氧化三铁）处理","黒染め（四三酸化鉄）処理"))</f>
        <v>Black Oxide Coatings</v>
      </c>
      <c r="T38" s="103" t="str">
        <f>IF(B5="English","Cermet thermal spraying C-CrC-Ni-Cr",IF(B5="中国語","碳化铬-镍喷镀","炭化クロム・ニッケル溶射"))</f>
        <v>Cermet thermal spraying C-CrC-Ni-Cr</v>
      </c>
      <c r="U38" s="104"/>
      <c r="V38" s="104"/>
      <c r="W38" s="104"/>
      <c r="X38" s="104"/>
    </row>
    <row r="39" spans="2:24" s="53" customFormat="1" ht="12" hidden="1" customHeight="1">
      <c r="B39" s="55" t="str">
        <f>IF(B5="English","Solvent",IF(B5="中国語","溶剂","溶媒"))</f>
        <v>Solvent</v>
      </c>
      <c r="C39" s="55"/>
      <c r="D39" s="55"/>
      <c r="E39" s="55"/>
      <c r="F39" s="55"/>
      <c r="G39" s="55"/>
      <c r="H39" s="55"/>
      <c r="I39" s="55"/>
      <c r="J39" s="55"/>
      <c r="K39" s="55"/>
      <c r="L39" s="55"/>
      <c r="M39" s="103" t="str">
        <f>IF(B5="English","Copper (e.g. copper amounts in cable harnesses)",IF(B5="中国語","纯铜 (例：线缆的铜)","銅(例,ケーブルハーネスの銅)"))</f>
        <v>Copper (e.g. copper amounts in cable harnesses)</v>
      </c>
      <c r="N39" s="103" t="str">
        <f>IF(B5="English","PA (Polyamide)",IF(B5="中国語","聚酰胺 (PA)","PA(ポリアミド)"))</f>
        <v>PA (Polyamide)</v>
      </c>
      <c r="O39" s="103" t="str">
        <f>IF(B5="English","Thermoplastic elastomer",IF(B5="中国語","热塑性弹性体","熱可塑性エラストマ"))</f>
        <v>Thermoplastic elastomer</v>
      </c>
      <c r="P39" s="104"/>
      <c r="Q39" s="103"/>
      <c r="R39" s="103" t="str">
        <f>IF(B5="English","Silver plating",IF(B5="中国語","镀银","銀めっき"))</f>
        <v>Silver plating</v>
      </c>
      <c r="S39" s="103" t="str">
        <f>IF(B5="English","Phosphate Coatings",IF(B5="中国語","磷酸处理","リン酸処理"))</f>
        <v>Phosphate Coatings</v>
      </c>
      <c r="T39" s="103"/>
      <c r="U39" s="104"/>
      <c r="V39" s="104"/>
      <c r="W39" s="104"/>
      <c r="X39" s="104"/>
    </row>
    <row r="40" spans="2:24" s="53" customFormat="1" ht="12" hidden="1" customHeight="1">
      <c r="B40" s="55" t="str">
        <f>IF(B5="English","Impurity",IF(B5="中国語","不纯物","不純物"))</f>
        <v>Impurity</v>
      </c>
      <c r="C40" s="55"/>
      <c r="D40" s="55"/>
      <c r="E40" s="55"/>
      <c r="F40" s="55"/>
      <c r="G40" s="55"/>
      <c r="H40" s="55"/>
      <c r="I40" s="55"/>
      <c r="J40" s="55"/>
      <c r="K40" s="55"/>
      <c r="L40" s="55"/>
      <c r="M40" s="103" t="str">
        <f>IF(B5="English","Copper alloys",IF(B5="中国語","铜合金","銅合金"))</f>
        <v>Copper alloys</v>
      </c>
      <c r="N40" s="103" t="str">
        <f>IF(B5="English","PET (Poly ethylene terephthalate )",IF(B5="中国語","聚对苯二甲酸乙二醇酯 (PET)","PET(ポリエチレンテレフタレート)"))</f>
        <v>PET (Poly ethylene terephthalate )</v>
      </c>
      <c r="O40" s="103" t="str">
        <f>IF(B5="English","Other thermoplastics",IF(B5="中国語","其他热塑性树脂","その他の熱可塑性樹脂"))</f>
        <v>Other thermoplastics</v>
      </c>
      <c r="P40" s="104"/>
      <c r="Q40" s="103"/>
      <c r="R40" s="103" t="str">
        <f>IF(B5="English","Cadmium plating",IF(B5="中国語","镀镉","カドミウムめっき"))</f>
        <v>Cadmium plating</v>
      </c>
      <c r="S40" s="103"/>
      <c r="T40" s="103"/>
      <c r="U40" s="104"/>
      <c r="V40" s="104"/>
      <c r="W40" s="104"/>
      <c r="X40" s="104"/>
    </row>
    <row r="41" spans="2:24" s="53" customFormat="1" ht="12" hidden="1" customHeight="1">
      <c r="B41" s="55" t="str">
        <f>IF(B5="English","Accelerator",IF(B5="中国語","催化剂","促進剤"))</f>
        <v>Accelerator</v>
      </c>
      <c r="C41" s="55"/>
      <c r="D41" s="55"/>
      <c r="E41" s="55"/>
      <c r="F41" s="55"/>
      <c r="G41" s="55"/>
      <c r="H41" s="55"/>
      <c r="I41" s="55"/>
      <c r="J41" s="55"/>
      <c r="K41" s="55"/>
      <c r="L41" s="55"/>
      <c r="M41" s="103" t="str">
        <f>IF(B5="English","Zinc and Zinc alloys",IF(B5="中国語","锌合金","亜鉛合金"))</f>
        <v>Zinc and Zinc alloys</v>
      </c>
      <c r="N41" s="103" t="str">
        <f>IF(B5="English","PPE ((Modified) polyphenylene ether)",IF(B5="中国語","聚苯醚 (PPE)","PPE"))</f>
        <v>PPE ((Modified) polyphenylene ether)</v>
      </c>
      <c r="O41" s="103" t="str">
        <f>IF(B5="English","PUR (Polyurethane)",IF(B5="中国語","聚氨酯 (PUR)","ポリウレタン"))</f>
        <v>PUR (Polyurethane)</v>
      </c>
      <c r="P41" s="104"/>
      <c r="Q41" s="103"/>
      <c r="R41" s="103"/>
      <c r="S41" s="103"/>
      <c r="T41" s="103"/>
      <c r="U41" s="104"/>
      <c r="V41" s="104"/>
      <c r="W41" s="104"/>
      <c r="X41" s="104"/>
    </row>
    <row r="42" spans="2:24" s="53" customFormat="1" ht="12" hidden="1" customHeight="1">
      <c r="B42" s="55" t="str">
        <f>IF(B5="English","Filler",IF(B5="中国語","填料","充填剤"))</f>
        <v>Filler</v>
      </c>
      <c r="C42" s="55"/>
      <c r="D42" s="55"/>
      <c r="E42" s="55"/>
      <c r="F42" s="55"/>
      <c r="G42" s="55"/>
      <c r="H42" s="55"/>
      <c r="I42" s="55"/>
      <c r="J42" s="55"/>
      <c r="K42" s="55"/>
      <c r="L42" s="55"/>
      <c r="M42" s="103" t="str">
        <f>IF(B5="English","Nickel and Nickel alloys",IF(B5="中国語","镍合金","ニッケル合金"))</f>
        <v>Nickel and Nickel alloys</v>
      </c>
      <c r="N42" s="103" t="str">
        <f>IF(B5="English","Thermoplastic elastomer",IF(B5="中国語","热塑性弹性体","熱可塑性エラストマ"))</f>
        <v>Thermoplastic elastomer</v>
      </c>
      <c r="O42" s="103" t="str">
        <f>IF(B5="English","UP (Unsaturated polyester)",IF(B5="中国語","不饱和聚酯 (UP)","不飽和ポリエステル"))</f>
        <v>UP (Unsaturated polyester)</v>
      </c>
      <c r="P42" s="104"/>
      <c r="Q42" s="103"/>
      <c r="R42" s="103"/>
      <c r="S42" s="103"/>
      <c r="T42" s="103"/>
      <c r="U42" s="104"/>
      <c r="V42" s="104"/>
      <c r="W42" s="104"/>
      <c r="X42" s="104"/>
    </row>
    <row r="43" spans="2:24" s="53" customFormat="1" ht="12" hidden="1" customHeight="1">
      <c r="B43" s="55" t="str">
        <f>IF(B5="English","MoldbLubricant",IF(B5="中国語","脱模剂","離型剤 "))</f>
        <v>MoldbLubricant</v>
      </c>
      <c r="C43" s="55"/>
      <c r="D43" s="55"/>
      <c r="E43" s="55"/>
      <c r="F43" s="55"/>
      <c r="G43" s="55"/>
      <c r="H43" s="55"/>
      <c r="I43" s="55"/>
      <c r="J43" s="55"/>
      <c r="K43" s="55"/>
      <c r="L43" s="55"/>
      <c r="M43" s="103" t="str">
        <f>IF(B5="English","Lead and Lead alloys",IF(B5="中国語","铅,铅合金","鉛,鉛合金"))</f>
        <v>Lead and Lead alloys</v>
      </c>
      <c r="N43" s="103" t="str">
        <f>IF(B5="English","Other thermoplastics",IF(B5="中国語","其他热塑性树脂","その他の熱可塑性樹脂"))</f>
        <v>Other thermoplastics</v>
      </c>
      <c r="O43" s="103" t="str">
        <f>IF(B5="English","EP (Epoxy resin)",IF(B5="中国語","环氧树脂 (EP)","エポキシ樹脂"))</f>
        <v>EP (Epoxy resin)</v>
      </c>
      <c r="P43" s="104"/>
      <c r="Q43" s="103"/>
      <c r="R43" s="103"/>
      <c r="S43" s="103"/>
      <c r="T43" s="103"/>
      <c r="U43" s="104"/>
      <c r="V43" s="104"/>
      <c r="W43" s="104"/>
      <c r="X43" s="104"/>
    </row>
    <row r="44" spans="2:24" s="53" customFormat="1" ht="12" hidden="1" customHeight="1">
      <c r="B44" s="55" t="str">
        <f>IF(B5="English","Plasticizer",IF(B5="中国語","可塑剂","可塑剤"))</f>
        <v>Plasticizer</v>
      </c>
      <c r="C44" s="55"/>
      <c r="D44" s="55"/>
      <c r="E44" s="55"/>
      <c r="F44" s="55"/>
      <c r="G44" s="55"/>
      <c r="H44" s="55"/>
      <c r="I44" s="55"/>
      <c r="J44" s="55"/>
      <c r="K44" s="55"/>
      <c r="L44" s="55"/>
      <c r="M44" s="103" t="str">
        <f>IF(B5="English","Sn-Pb solder",IF(B5="中国語","有铅焊锡","含鉛はんだ"))</f>
        <v>Sn-Pb solder</v>
      </c>
      <c r="N44" s="103" t="str">
        <f>IF(B5="English","PUR (Polyurethane)",IF(B5="中国語","聚氨酯 (PUR)","ポリウレタン"))</f>
        <v>PUR (Polyurethane)</v>
      </c>
      <c r="O44" s="103" t="str">
        <f>IF(B5="English","Others (Cured resin or duromers)",IF(B5="中国語","其他固性树脂","その他の硬化性樹脂"))</f>
        <v>Others (Cured resin or duromers)</v>
      </c>
      <c r="P44" s="104"/>
      <c r="Q44" s="103"/>
      <c r="R44" s="103"/>
      <c r="S44" s="103"/>
      <c r="T44" s="103"/>
      <c r="U44" s="104"/>
      <c r="V44" s="104"/>
      <c r="W44" s="104"/>
      <c r="X44" s="104"/>
    </row>
    <row r="45" spans="2:24" s="53" customFormat="1" ht="12" hidden="1" customHeight="1">
      <c r="B45" s="55" t="str">
        <f>IF(B5="English","Reinforcement",IF(B5="中国語","强化剂","強化剤"))</f>
        <v>Reinforcement</v>
      </c>
      <c r="C45" s="55"/>
      <c r="D45" s="55"/>
      <c r="E45" s="55"/>
      <c r="F45" s="55"/>
      <c r="G45" s="55"/>
      <c r="H45" s="55"/>
      <c r="I45" s="55"/>
      <c r="J45" s="55"/>
      <c r="K45" s="55"/>
      <c r="L45" s="55"/>
      <c r="M45" s="103" t="str">
        <f>IF(B5="English","Lead-free solder",IF(B5="中国語","无铅焊锡","非鉛はんだ"))</f>
        <v>Lead-free solder</v>
      </c>
      <c r="N45" s="103" t="str">
        <f>IF(B5="English","UP (Unsaturated polyester)",IF(B5="中国語","不饱和聚酯 (UP)","不飽和ポリエステル"))</f>
        <v>UP (Unsaturated polyester)</v>
      </c>
      <c r="O45" s="103" t="str">
        <f>IF(B5="English","Others (Rubber/non-thermoplastic Elastomer)",IF(B5="中国語","其他橡胶（非热塑性）、弹性体","（熱可塑でない）エラストマー／エラストマー複合"))</f>
        <v>Others (Rubber/non-thermoplastic Elastomer)</v>
      </c>
      <c r="P45" s="104"/>
      <c r="Q45" s="103"/>
      <c r="R45" s="103"/>
      <c r="S45" s="103"/>
      <c r="T45" s="103"/>
      <c r="U45" s="104"/>
      <c r="V45" s="104"/>
      <c r="W45" s="104"/>
      <c r="X45" s="104"/>
    </row>
    <row r="46" spans="2:24" s="53" customFormat="1" ht="12" hidden="1" customHeight="1">
      <c r="B46" s="55" t="str">
        <f>IF(B5="English","Retarder",IF(B5="中国語","抑制剂","抑制剤"))</f>
        <v>Retarder</v>
      </c>
      <c r="C46" s="55"/>
      <c r="D46" s="55"/>
      <c r="E46" s="55"/>
      <c r="F46" s="55"/>
      <c r="G46" s="55"/>
      <c r="H46" s="55"/>
      <c r="I46" s="55"/>
      <c r="J46" s="55"/>
      <c r="K46" s="55"/>
      <c r="L46" s="55"/>
      <c r="M46" s="103" t="str">
        <f>IF(B5="English","Gold",IF(B5="中国語","特殊金属 (金)","特殊金属(金）"))</f>
        <v>Gold</v>
      </c>
      <c r="N46" s="103" t="str">
        <f>IF(B5="English","EP (Epoxy resin)",IF(B5="中国語","环氧树脂 (EP)","エポキシ樹脂"))</f>
        <v>EP (Epoxy resin)</v>
      </c>
      <c r="O46" s="103" t="str">
        <f>IF(B5="English","Polymeric compounds",IF(B5="中国語","高分子复合材料","高分子複合材"))</f>
        <v>Polymeric compounds</v>
      </c>
      <c r="P46" s="104"/>
      <c r="Q46" s="103"/>
      <c r="R46" s="103"/>
      <c r="S46" s="103"/>
      <c r="T46" s="103"/>
      <c r="U46" s="104"/>
      <c r="V46" s="104"/>
      <c r="W46" s="104"/>
      <c r="X46" s="104"/>
    </row>
    <row r="47" spans="2:24" s="53" customFormat="1" ht="12" hidden="1" customHeight="1">
      <c r="B47" s="55" t="str">
        <f>IF(B5="English","Stabiliser",IF(B5="中国語","稳定剂","安定剤"))</f>
        <v>Stabiliser</v>
      </c>
      <c r="C47" s="55"/>
      <c r="D47" s="55"/>
      <c r="E47" s="55"/>
      <c r="F47" s="55"/>
      <c r="G47" s="55"/>
      <c r="H47" s="55"/>
      <c r="I47" s="55"/>
      <c r="J47" s="55"/>
      <c r="K47" s="55"/>
      <c r="L47" s="55"/>
      <c r="M47" s="103" t="str">
        <f>IF(B5="English","Platinum / rhodium",IF(B5="中国語","特殊金属 (铂、铑)","特殊金属（白金、ロジウム）"))</f>
        <v>Platinum / rhodium</v>
      </c>
      <c r="N47" s="103" t="str">
        <f>IF(B5="English","Others (Cured resin or duromers)",IF(B5="中国語","其他固性树脂","その他の硬化性樹脂"))</f>
        <v>Others (Cured resin or duromers)</v>
      </c>
      <c r="O47" s="104" t="str">
        <f>IF(B5="English","Lubricants,Brake fluid, etc",IF(B5="中国語","液体(润滑剂、制动液等)","潤滑剤、ブレーキフルード、他"))</f>
        <v>Lubricants,Brake fluid, etc</v>
      </c>
      <c r="P47" s="104"/>
      <c r="Q47" s="103"/>
      <c r="R47" s="103"/>
      <c r="S47" s="103"/>
      <c r="T47" s="103"/>
      <c r="U47" s="104"/>
      <c r="V47" s="104"/>
      <c r="W47" s="104"/>
      <c r="X47" s="104"/>
    </row>
    <row r="48" spans="2:24" s="53" customFormat="1" ht="12" hidden="1" customHeight="1">
      <c r="B48" s="55" t="str">
        <f>IF(B5="English","Vulcanizing Agent",IF(B5="中国語","硫化剂","加硫剤"))</f>
        <v>Vulcanizing Agent</v>
      </c>
      <c r="C48" s="55"/>
      <c r="D48" s="55"/>
      <c r="E48" s="55"/>
      <c r="F48" s="55"/>
      <c r="G48" s="55"/>
      <c r="H48" s="55"/>
      <c r="I48" s="55"/>
      <c r="J48" s="55"/>
      <c r="K48" s="55"/>
      <c r="L48" s="55"/>
      <c r="M48" s="103" t="str">
        <f>IF(B5="English","Other special metals",IF(B5="中国語","其他特殊金属(银、钯)","その他の特殊金属（銀、パラジウム等）"))</f>
        <v>Other special metals</v>
      </c>
      <c r="N48" s="103" t="str">
        <f>IF(B5="English","Others (Rubber/non-thermoplastic Elastomer)",IF(B5="中国語","其他橡胶（非热塑性）、弹性体","（熱可塑でない）エラストマー／エラストマー複合"))</f>
        <v>Others (Rubber/non-thermoplastic Elastomer)</v>
      </c>
      <c r="O48" s="104" t="str">
        <f>IF(B5="English","Others (Powder,etc)",IF(B5="中国語","其他材料（粉末等）","その他材料（粉体ほか）"))</f>
        <v>Others (Powder,etc)</v>
      </c>
      <c r="P48" s="104"/>
      <c r="Q48" s="103"/>
      <c r="R48" s="103"/>
      <c r="S48" s="103"/>
      <c r="T48" s="103"/>
      <c r="U48" s="104"/>
      <c r="V48" s="104"/>
      <c r="W48" s="104"/>
      <c r="X48" s="104"/>
    </row>
    <row r="49" spans="2:24" s="53" customFormat="1" ht="12" hidden="1" customHeight="1">
      <c r="B49" s="55" t="str">
        <f>IF(B5="English","Fixing Agent",IF(B5="中国語","黏着剂","固着剤"))</f>
        <v>Fixing Agent</v>
      </c>
      <c r="C49" s="55"/>
      <c r="D49" s="55"/>
      <c r="E49" s="55"/>
      <c r="F49" s="55"/>
      <c r="G49" s="55"/>
      <c r="H49" s="55"/>
      <c r="I49" s="55"/>
      <c r="J49" s="55"/>
      <c r="K49" s="55"/>
      <c r="L49" s="55"/>
      <c r="M49" s="103" t="str">
        <f>IF(B5="English","Titanium and titanium alloys",IF(B5="中国語","钛,钛合金","チタン,チタン合金"))</f>
        <v>Titanium and titanium alloys</v>
      </c>
      <c r="N49" s="103" t="str">
        <f>IF(B5="English","Polymeric compounds",IF(B5="中国語","高分子复合材料","高分子複合材"))</f>
        <v>Polymeric compounds</v>
      </c>
      <c r="O49" s="103"/>
      <c r="P49" s="104"/>
      <c r="Q49" s="103"/>
      <c r="R49" s="103"/>
      <c r="S49" s="103"/>
      <c r="T49" s="103"/>
      <c r="U49" s="104"/>
      <c r="V49" s="104"/>
      <c r="W49" s="104"/>
      <c r="X49" s="104"/>
    </row>
    <row r="50" spans="2:24" s="53" customFormat="1" ht="12" hidden="1" customHeight="1">
      <c r="B50" s="55" t="str">
        <f>IF(B5="English","Hardening Agent",IF(B5="中国語","硬化剂","硬化剤"))</f>
        <v>Hardening Agent</v>
      </c>
      <c r="C50" s="55"/>
      <c r="D50" s="55"/>
      <c r="E50" s="55"/>
      <c r="F50" s="55"/>
      <c r="G50" s="55"/>
      <c r="H50" s="55"/>
      <c r="I50" s="55"/>
      <c r="J50" s="55"/>
      <c r="K50" s="55"/>
      <c r="L50" s="55"/>
      <c r="M50" s="103" t="str">
        <f>IF(B5="English","Other nonferrous metals",IF(B5="中国語","其他有色金属","その他の非鉄金属"))</f>
        <v>Other nonferrous metals</v>
      </c>
      <c r="N50" s="103" t="str">
        <f>IF(B5="English","Plastics (in polymeric compounds)",IF(B5="中国語","高分子复合材中所含树脂","高分子複合材に含まれる樹脂"))</f>
        <v>Plastics (in polymeric compounds)</v>
      </c>
      <c r="O50" s="103"/>
      <c r="P50" s="104"/>
      <c r="Q50" s="103"/>
      <c r="R50" s="103"/>
      <c r="S50" s="103"/>
      <c r="T50" s="103"/>
      <c r="U50" s="104"/>
      <c r="V50" s="104"/>
      <c r="W50" s="104"/>
      <c r="X50" s="104"/>
    </row>
    <row r="51" spans="2:24" s="53" customFormat="1" ht="12" hidden="1" customHeight="1">
      <c r="B51" s="55" t="str">
        <f>IF(B5="English","Cross-Linking Agent",IF(B5="中国語","交联剂","架橋剤"))</f>
        <v>Cross-Linking Agent</v>
      </c>
      <c r="C51" s="55"/>
      <c r="D51" s="55"/>
      <c r="E51" s="55"/>
      <c r="F51" s="55"/>
      <c r="G51" s="55"/>
      <c r="H51" s="55"/>
      <c r="I51" s="55"/>
      <c r="J51" s="55"/>
      <c r="K51" s="55"/>
      <c r="L51" s="55"/>
      <c r="M51" s="103" t="str">
        <f>IF(B5="English","Ceramics",IF(B5="中国語","陶瓷","セラミック"))</f>
        <v>Ceramics</v>
      </c>
      <c r="N51" s="103" t="str">
        <f>IF(B5="English","Textiles (in polymeric compounds)",IF(B5="中国語","高分子复合材中所含纤维","高分子複合材に含まれる繊維"))</f>
        <v>Textiles (in polymeric compounds)</v>
      </c>
      <c r="O51" s="103"/>
      <c r="P51" s="104"/>
      <c r="Q51" s="103"/>
      <c r="R51" s="103"/>
      <c r="S51" s="103"/>
      <c r="T51" s="103"/>
      <c r="U51" s="104"/>
      <c r="V51" s="104"/>
      <c r="W51" s="104"/>
      <c r="X51" s="104"/>
    </row>
    <row r="52" spans="2:24" s="53" customFormat="1" ht="12" hidden="1" customHeight="1">
      <c r="B52" s="55" t="str">
        <f>IF(B5="English","Lubricant Agent",IF(B5="中国語","润滑剂","潤滑剤"))</f>
        <v>Lubricant Agent</v>
      </c>
      <c r="C52" s="55"/>
      <c r="D52" s="55"/>
      <c r="E52" s="55"/>
      <c r="F52" s="55"/>
      <c r="G52" s="55"/>
      <c r="H52" s="55"/>
      <c r="I52" s="55"/>
      <c r="J52" s="55"/>
      <c r="K52" s="55"/>
      <c r="L52" s="55"/>
      <c r="M52" s="103" t="str">
        <f>IF(B5="English","Glass",IF(B5="中国語","玻璃","ガラス"))</f>
        <v>Glass</v>
      </c>
      <c r="N52" s="103"/>
      <c r="O52" s="103"/>
      <c r="P52" s="103"/>
      <c r="Q52" s="103"/>
      <c r="R52" s="103"/>
      <c r="S52" s="103"/>
      <c r="T52" s="103"/>
      <c r="U52" s="104"/>
      <c r="V52" s="104"/>
      <c r="W52" s="104"/>
      <c r="X52" s="104"/>
    </row>
    <row r="53" spans="2:24" s="53" customFormat="1" ht="12" hidden="1" customHeight="1">
      <c r="B53" s="55" t="str">
        <f>IF(B5="English","Coupling Agent",IF(B5="中国語","耦合剂","結合剤"))</f>
        <v>Coupling Agent</v>
      </c>
      <c r="C53" s="55"/>
      <c r="D53" s="55"/>
      <c r="E53" s="55"/>
      <c r="F53" s="55"/>
      <c r="G53" s="55"/>
      <c r="H53" s="55"/>
      <c r="I53" s="55"/>
      <c r="J53" s="55"/>
      <c r="K53" s="55"/>
      <c r="L53" s="55"/>
      <c r="M53" s="103" t="str">
        <f>IF(B5="English","Other inorganic compounds",IF(B5="中国語","其它无机化合物","その他無機化合物"))</f>
        <v>Other inorganic compounds</v>
      </c>
      <c r="N53" s="103"/>
      <c r="O53" s="103"/>
      <c r="P53" s="103"/>
      <c r="Q53" s="103"/>
      <c r="R53" s="103"/>
      <c r="S53" s="103"/>
      <c r="T53" s="103"/>
      <c r="U53" s="104"/>
      <c r="V53" s="104"/>
      <c r="W53" s="104"/>
      <c r="X53" s="104"/>
    </row>
    <row r="54" spans="2:24" s="53" customFormat="1" ht="12" hidden="1" customHeight="1">
      <c r="B54" s="55" t="str">
        <f>IF(B5="English","Initiator",IF(B5="中国語","聚合引发剂","重合開始剤"))</f>
        <v>Initiator</v>
      </c>
      <c r="C54" s="55"/>
      <c r="D54" s="55"/>
      <c r="E54" s="55"/>
      <c r="F54" s="55"/>
      <c r="G54" s="55"/>
      <c r="H54" s="55"/>
      <c r="I54" s="55"/>
      <c r="J54" s="55"/>
      <c r="K54" s="55"/>
      <c r="L54" s="55"/>
      <c r="M54" s="103" t="str">
        <f>IF(B5="English","filled Thermoplastics",IF(B5="中国語","含有填料带（填料）的热可塑树脂","フィラー(充填材)を含有する熱可塑性樹脂"))</f>
        <v>filled Thermoplastics</v>
      </c>
      <c r="N54" s="103"/>
      <c r="O54" s="103"/>
      <c r="P54" s="103"/>
      <c r="Q54" s="103"/>
      <c r="R54" s="103"/>
      <c r="S54" s="103"/>
      <c r="T54" s="103"/>
      <c r="U54" s="104"/>
      <c r="V54" s="104"/>
      <c r="W54" s="104"/>
      <c r="X54" s="104"/>
    </row>
    <row r="55" spans="2:24" s="53" customFormat="1" ht="12" hidden="1" customHeight="1">
      <c r="B55" s="55" t="str">
        <f>IF(B5="English","Antistatic Agent",IF(B5="中国語","防静电剂","帯電防止剤"))</f>
        <v>Antistatic Agent</v>
      </c>
      <c r="C55" s="55"/>
      <c r="D55" s="55"/>
      <c r="E55" s="55"/>
      <c r="F55" s="55"/>
      <c r="G55" s="55"/>
      <c r="H55" s="55"/>
      <c r="I55" s="55"/>
      <c r="J55" s="55"/>
      <c r="K55" s="55"/>
      <c r="L55" s="55"/>
      <c r="M55" s="103" t="str">
        <f>IF(B5="English","PE (Polyethylene)",IF(B5="中国語","聚乙烯(PE)","PE(ポリエチレン)"))</f>
        <v>PE (Polyethylene)</v>
      </c>
      <c r="N55" s="103"/>
      <c r="O55" s="103"/>
      <c r="P55" s="103"/>
      <c r="Q55" s="103"/>
      <c r="R55" s="103"/>
      <c r="S55" s="103"/>
      <c r="T55" s="103"/>
      <c r="U55" s="104"/>
      <c r="V55" s="104"/>
      <c r="W55" s="104"/>
      <c r="X55" s="104"/>
    </row>
    <row r="56" spans="2:24" s="53" customFormat="1" ht="12" hidden="1" customHeight="1">
      <c r="B56" s="55" t="str">
        <f>IF(B5="English","Antioxidizing Agent",IF(B5="中国語","防氧化剂","酸化防止剤"))</f>
        <v>Antioxidizing Agent</v>
      </c>
      <c r="C56" s="55"/>
      <c r="D56" s="55"/>
      <c r="E56" s="55"/>
      <c r="F56" s="55"/>
      <c r="G56" s="55"/>
      <c r="H56" s="55"/>
      <c r="I56" s="55"/>
      <c r="J56" s="55"/>
      <c r="K56" s="55"/>
      <c r="L56" s="55"/>
      <c r="M56" s="103" t="str">
        <f>IF(B5="English","PP(Polypropylene)",IF(B5="中国語","聚丙烯 (PP)","PP(ポリプロピレン) "))</f>
        <v>PP(Polypropylene)</v>
      </c>
      <c r="N56" s="103"/>
      <c r="O56" s="103"/>
      <c r="P56" s="103"/>
      <c r="Q56" s="103"/>
      <c r="R56" s="103"/>
      <c r="S56" s="103"/>
      <c r="T56" s="103"/>
      <c r="U56" s="104"/>
      <c r="V56" s="104"/>
      <c r="W56" s="104"/>
      <c r="X56" s="104"/>
    </row>
    <row r="57" spans="2:24" s="53" customFormat="1" ht="12" hidden="1" customHeight="1">
      <c r="B57" s="55" t="str">
        <f>IF(B5="English","Electric Characteristic Improvement",IF(B5="中国語","改善电气特性","電気特性向上"))</f>
        <v>Electric Characteristic Improvement</v>
      </c>
      <c r="C57" s="55"/>
      <c r="D57" s="55"/>
      <c r="E57" s="55"/>
      <c r="F57" s="55"/>
      <c r="G57" s="55"/>
      <c r="H57" s="55"/>
      <c r="I57" s="55"/>
      <c r="J57" s="55"/>
      <c r="K57" s="55"/>
      <c r="L57" s="55"/>
      <c r="M57" s="103" t="str">
        <f>IF(B5="English","PS (Polystyrene)",IF(B5="聚苯乙烯 (PS)","部位名","PS(ポリスチレン)"))</f>
        <v>PS (Polystyrene)</v>
      </c>
      <c r="N57" s="103"/>
      <c r="O57" s="103"/>
      <c r="P57" s="103"/>
      <c r="Q57" s="103"/>
      <c r="R57" s="103"/>
      <c r="S57" s="103"/>
      <c r="T57" s="103"/>
      <c r="U57" s="104"/>
      <c r="V57" s="104"/>
      <c r="W57" s="104"/>
      <c r="X57" s="104"/>
    </row>
    <row r="58" spans="2:24" s="53" customFormat="1" ht="12" hidden="1" customHeight="1">
      <c r="B58" s="55" t="str">
        <f>IF(B5="English","Optical Characterist Improvement",IF(B5="中国語","改善光学特性","光学特性向上"))</f>
        <v>Optical Characterist Improvement</v>
      </c>
      <c r="C58" s="55"/>
      <c r="D58" s="55"/>
      <c r="E58" s="55"/>
      <c r="F58" s="55"/>
      <c r="G58" s="55"/>
      <c r="H58" s="55"/>
      <c r="I58" s="55"/>
      <c r="J58" s="55"/>
      <c r="K58" s="55"/>
      <c r="L58" s="55"/>
      <c r="M58" s="103" t="str">
        <f>IF(B5="English","PVC (Poly vinyl chloride)",IF(B5="中国語","聚氯乙烯 (PVC)","PVC(ポリ塩化ビニル)"))</f>
        <v>PVC (Poly vinyl chloride)</v>
      </c>
      <c r="N58" s="103"/>
      <c r="O58" s="103"/>
      <c r="P58" s="103"/>
      <c r="Q58" s="103"/>
      <c r="R58" s="103"/>
      <c r="S58" s="103"/>
      <c r="T58" s="103"/>
      <c r="U58" s="104"/>
      <c r="V58" s="104"/>
      <c r="W58" s="104"/>
      <c r="X58" s="104"/>
    </row>
    <row r="59" spans="2:24" s="53" customFormat="1" ht="12" hidden="1" customHeight="1">
      <c r="B59" s="55" t="str">
        <f>IF(B5="English","Mechanical Characteristic Improvement",IF(B5="中国語","盖上机械特性","機械特性向上"))</f>
        <v>Mechanical Characteristic Improvement</v>
      </c>
      <c r="C59" s="55"/>
      <c r="D59" s="55"/>
      <c r="E59" s="55"/>
      <c r="F59" s="55"/>
      <c r="G59" s="55"/>
      <c r="H59" s="55"/>
      <c r="I59" s="55"/>
      <c r="J59" s="55"/>
      <c r="K59" s="55"/>
      <c r="L59" s="55"/>
      <c r="M59" s="103" t="str">
        <f>IF(B5="English","PC (Polycarbonate)",IF(B5="中国語","聚碳酸酯 (PC)","PC(ポリカーボネート)"))</f>
        <v>PC (Polycarbonate)</v>
      </c>
      <c r="N59" s="103"/>
      <c r="O59" s="103"/>
      <c r="P59" s="103"/>
      <c r="Q59" s="103"/>
      <c r="R59" s="103"/>
      <c r="S59" s="103"/>
      <c r="T59" s="103"/>
      <c r="U59" s="104"/>
      <c r="V59" s="104"/>
      <c r="W59" s="104"/>
      <c r="X59" s="104"/>
    </row>
    <row r="60" spans="2:24" s="53" customFormat="1" ht="12" hidden="1" customHeight="1">
      <c r="B60" s="55" t="str">
        <f>IF(B5="English","Flame Resistance Improvement",IF(B5="中国語","改善阻燃性","難燃性向上"))</f>
        <v>Flame Resistance Improvement</v>
      </c>
      <c r="C60" s="55"/>
      <c r="D60" s="55"/>
      <c r="E60" s="55"/>
      <c r="F60" s="55"/>
      <c r="G60" s="55"/>
      <c r="H60" s="55"/>
      <c r="I60" s="55"/>
      <c r="J60" s="55"/>
      <c r="K60" s="55"/>
      <c r="L60" s="55"/>
      <c r="M60" s="103" t="str">
        <f>IF(B5="English","POM (Polyacetal)",IF(B5="中国語","聚缩醛 (POM)","POM(ポリアセタール)"))</f>
        <v>POM (Polyacetal)</v>
      </c>
      <c r="N60" s="103"/>
      <c r="O60" s="103"/>
      <c r="P60" s="103"/>
      <c r="Q60" s="103"/>
      <c r="R60" s="103"/>
      <c r="S60" s="103"/>
      <c r="T60" s="103"/>
      <c r="U60" s="104"/>
      <c r="V60" s="104"/>
      <c r="W60" s="104"/>
      <c r="X60" s="104"/>
    </row>
    <row r="61" spans="2:24" s="53" customFormat="1" ht="12" hidden="1" customHeight="1">
      <c r="B61" s="55" t="str">
        <f>IF(B5="English","Thermal Stability",IF(B5="中国語","改善热稳定性","熱安定性向上"))</f>
        <v>Thermal Stability</v>
      </c>
      <c r="C61" s="55"/>
      <c r="D61" s="55"/>
      <c r="E61" s="55"/>
      <c r="F61" s="55"/>
      <c r="G61" s="55"/>
      <c r="H61" s="55"/>
      <c r="I61" s="55"/>
      <c r="J61" s="55"/>
      <c r="K61" s="55"/>
      <c r="L61" s="55"/>
      <c r="M61" s="103" t="str">
        <f>IF(B5="English","A(B)S Poly(acrylonitrile (-butadiene)-styrene)",IF(B5="中国語","丙烯腈丁二烯苯乙烯树脂 (ABS)","ABS"))</f>
        <v>A(B)S Poly(acrylonitrile (-butadiene)-styrene)</v>
      </c>
      <c r="N61" s="103"/>
      <c r="O61" s="103"/>
      <c r="P61" s="103"/>
      <c r="Q61" s="103"/>
      <c r="R61" s="103"/>
      <c r="S61" s="103"/>
      <c r="T61" s="103"/>
      <c r="U61" s="104"/>
      <c r="V61" s="104"/>
      <c r="W61" s="104"/>
      <c r="X61" s="104"/>
    </row>
    <row r="62" spans="2:24" s="53" customFormat="1" ht="12" hidden="1" customHeight="1">
      <c r="B62" s="55" t="str">
        <f>IF(B5="English","Machining Improvement",IF(B5="中国語","改善加工性","加工性向上"))</f>
        <v>Machining Improvement</v>
      </c>
      <c r="C62" s="55"/>
      <c r="D62" s="55"/>
      <c r="E62" s="55"/>
      <c r="F62" s="55"/>
      <c r="G62" s="55"/>
      <c r="H62" s="55"/>
      <c r="I62" s="55"/>
      <c r="J62" s="55"/>
      <c r="K62" s="55"/>
      <c r="L62" s="55"/>
      <c r="M62" s="103" t="str">
        <f>IF(B5="English","PA (Polyamide)",IF(B5="中国語","聚酰胺 (PA)","PA(ポリアミド)"))</f>
        <v>PA (Polyamide)</v>
      </c>
      <c r="N62" s="103"/>
      <c r="O62" s="103"/>
      <c r="P62" s="103"/>
      <c r="Q62" s="103"/>
      <c r="R62" s="103"/>
      <c r="S62" s="103"/>
      <c r="T62" s="103"/>
      <c r="U62" s="104"/>
      <c r="V62" s="104"/>
      <c r="W62" s="104"/>
      <c r="X62" s="104"/>
    </row>
    <row r="63" spans="2:24" s="53" customFormat="1" ht="12" hidden="1" customHeight="1">
      <c r="B63" s="55" t="str">
        <f>IF(B5="English","Corrosion Resistance Improvement",IF(B5="中国語","改善防锈性","防錆性向上"))</f>
        <v>Corrosion Resistance Improvement</v>
      </c>
      <c r="C63" s="55"/>
      <c r="D63" s="55"/>
      <c r="E63" s="55"/>
      <c r="F63" s="55"/>
      <c r="G63" s="55"/>
      <c r="H63" s="55"/>
      <c r="I63" s="55"/>
      <c r="J63" s="55"/>
      <c r="K63" s="55"/>
      <c r="L63" s="55"/>
      <c r="M63" s="103" t="str">
        <f>IF(B5="English","PET (Poly ethylene terephthalate )",IF(B5="中国語","聚对苯二甲酸乙二醇酯 (PET)","PET(ポリエチレンテレフタレート)"))</f>
        <v>PET (Poly ethylene terephthalate )</v>
      </c>
      <c r="N63" s="103"/>
      <c r="O63" s="103"/>
      <c r="P63" s="103"/>
      <c r="Q63" s="103"/>
      <c r="R63" s="103"/>
      <c r="S63" s="103"/>
      <c r="T63" s="103"/>
      <c r="U63" s="104"/>
      <c r="V63" s="104"/>
      <c r="W63" s="104"/>
      <c r="X63" s="104"/>
    </row>
    <row r="64" spans="2:24" s="53" customFormat="1" ht="12" hidden="1" customHeight="1">
      <c r="B64" s="55" t="str">
        <f>IF(B5="English","Moistureproof Improvement",IF(B5="中国語","改善防湿性","防湿性向上"))</f>
        <v>Moistureproof Improvement</v>
      </c>
      <c r="C64" s="55"/>
      <c r="D64" s="55"/>
      <c r="E64" s="55"/>
      <c r="F64" s="55"/>
      <c r="G64" s="55"/>
      <c r="H64" s="55"/>
      <c r="I64" s="55"/>
      <c r="J64" s="55"/>
      <c r="K64" s="55"/>
      <c r="L64" s="55"/>
      <c r="M64" s="103" t="str">
        <f>IF(B5="English","PPE ((Modified) polyphenylene ether)",IF(B5="中国語","聚苯醚 (PPE)","PPE"))</f>
        <v>PPE ((Modified) polyphenylene ether)</v>
      </c>
      <c r="N64" s="103"/>
      <c r="O64" s="103"/>
      <c r="P64" s="103"/>
      <c r="Q64" s="103"/>
      <c r="R64" s="103"/>
      <c r="S64" s="103"/>
      <c r="T64" s="103"/>
      <c r="U64" s="104"/>
      <c r="V64" s="104"/>
      <c r="W64" s="104"/>
      <c r="X64" s="104"/>
    </row>
    <row r="65" spans="1:24" s="53" customFormat="1" ht="12" hidden="1" customHeight="1">
      <c r="B65" s="55" t="str">
        <f>IF(B5="English","Insulation Improvement",IF(B5="中国語","改善绝缘性","絶縁性向上"))</f>
        <v>Insulation Improvement</v>
      </c>
      <c r="C65" s="55"/>
      <c r="D65" s="55"/>
      <c r="E65" s="55"/>
      <c r="F65" s="55"/>
      <c r="G65" s="55"/>
      <c r="H65" s="55"/>
      <c r="I65" s="55"/>
      <c r="J65" s="55"/>
      <c r="K65" s="55"/>
      <c r="L65" s="55"/>
      <c r="M65" s="103" t="str">
        <f>IF(B5="English","Thermoplastic elastomer",IF(B5="中国語","热塑性弹性体","熱可塑性エラストマ"))</f>
        <v>Thermoplastic elastomer</v>
      </c>
      <c r="N65" s="103"/>
      <c r="O65" s="103"/>
      <c r="P65" s="103"/>
      <c r="Q65" s="103"/>
      <c r="R65" s="103"/>
      <c r="S65" s="103"/>
      <c r="T65" s="103"/>
      <c r="U65" s="104"/>
      <c r="V65" s="104"/>
      <c r="W65" s="104"/>
      <c r="X65" s="104"/>
    </row>
    <row r="66" spans="1:24" s="53" customFormat="1" ht="12" hidden="1" customHeight="1">
      <c r="B66" s="55" t="str">
        <f>IF(B5="English","Conduction Improvement",IF(B5="中国語","改善导电性","導電性向上"))</f>
        <v>Conduction Improvement</v>
      </c>
      <c r="C66" s="55"/>
      <c r="D66" s="55"/>
      <c r="E66" s="55"/>
      <c r="F66" s="55"/>
      <c r="G66" s="55"/>
      <c r="H66" s="55"/>
      <c r="I66" s="55"/>
      <c r="J66" s="55"/>
      <c r="K66" s="55"/>
      <c r="L66" s="55"/>
      <c r="M66" s="103" t="str">
        <f>IF(B5="English","Other thermoplastics",IF(B5="中国語","其他热塑性树脂","その他の熱可塑性樹脂"))</f>
        <v>Other thermoplastics</v>
      </c>
      <c r="N66" s="103"/>
      <c r="O66" s="103"/>
      <c r="P66" s="103"/>
      <c r="Q66" s="103"/>
      <c r="R66" s="103"/>
      <c r="S66" s="103"/>
      <c r="T66" s="103"/>
      <c r="U66" s="104"/>
      <c r="V66" s="104"/>
      <c r="W66" s="104"/>
      <c r="X66" s="104"/>
    </row>
    <row r="67" spans="1:24" s="53" customFormat="1" ht="12" hidden="1" customHeight="1">
      <c r="B67" s="55" t="str">
        <f>IF(B5="English","Decay Resistance Improvement",IF(B5="中国語","改善耐用性","耐久性向上"))</f>
        <v>Decay Resistance Improvement</v>
      </c>
      <c r="C67" s="55"/>
      <c r="D67" s="55"/>
      <c r="E67" s="55"/>
      <c r="F67" s="55"/>
      <c r="G67" s="55"/>
      <c r="H67" s="55"/>
      <c r="I67" s="55"/>
      <c r="J67" s="55"/>
      <c r="K67" s="55"/>
      <c r="L67" s="55"/>
      <c r="M67" s="103" t="str">
        <f>IF(B5="English","PUR (Polyurethane)",IF(B5="中国語","聚氨酯 (PUR)","ポリウレタン"))</f>
        <v>PUR (Polyurethane)</v>
      </c>
      <c r="N67" s="103"/>
      <c r="O67" s="103"/>
      <c r="P67" s="103"/>
      <c r="Q67" s="103"/>
      <c r="R67" s="103"/>
      <c r="S67" s="103"/>
      <c r="T67" s="103"/>
      <c r="U67" s="104"/>
      <c r="V67" s="104"/>
      <c r="W67" s="104"/>
      <c r="X67" s="104"/>
    </row>
    <row r="68" spans="1:24" s="53" customFormat="1" ht="12" hidden="1" customHeight="1">
      <c r="B68" s="55" t="str">
        <f>IF(B5="English","Oil Resistance Improvement",IF(B5="中国語","改善耐油性","耐油性向上"))</f>
        <v>Oil Resistance Improvement</v>
      </c>
      <c r="C68" s="55"/>
      <c r="D68" s="55"/>
      <c r="E68" s="55"/>
      <c r="F68" s="55"/>
      <c r="G68" s="55"/>
      <c r="H68" s="55"/>
      <c r="I68" s="55"/>
      <c r="J68" s="55"/>
      <c r="K68" s="55"/>
      <c r="L68" s="55"/>
      <c r="M68" s="103" t="str">
        <f>IF(B5="English","UP (Unsaturated polyester)",IF(B5="中国語","不饱和聚酯 (UP)","不飽和ポリエステル"))</f>
        <v>UP (Unsaturated polyester)</v>
      </c>
      <c r="N68" s="103"/>
      <c r="O68" s="103"/>
      <c r="P68" s="103"/>
      <c r="Q68" s="103"/>
      <c r="R68" s="103"/>
      <c r="S68" s="103"/>
      <c r="T68" s="103"/>
      <c r="U68" s="104"/>
      <c r="V68" s="104"/>
      <c r="W68" s="104"/>
      <c r="X68" s="104"/>
    </row>
    <row r="69" spans="1:24" s="53" customFormat="1" ht="12" hidden="1" customHeight="1">
      <c r="B69" s="55" t="str">
        <f>IF(B5="English","Burning Resistance Improvement",IF(B5="中国語","改善耐热性","耐熱性向上"))</f>
        <v>Burning Resistance Improvement</v>
      </c>
      <c r="C69" s="55"/>
      <c r="D69" s="55"/>
      <c r="E69" s="55"/>
      <c r="F69" s="55"/>
      <c r="G69" s="55"/>
      <c r="H69" s="55"/>
      <c r="I69" s="55"/>
      <c r="J69" s="55"/>
      <c r="K69" s="55"/>
      <c r="L69" s="55"/>
      <c r="M69" s="103" t="str">
        <f>IF(B5="English","EP (Epoxy resin)",IF(B5="中国語","环氧树脂 (EP)","エポキシ樹脂"))</f>
        <v>EP (Epoxy resin)</v>
      </c>
      <c r="N69" s="103"/>
      <c r="O69" s="103"/>
      <c r="P69" s="103"/>
      <c r="Q69" s="103"/>
      <c r="R69" s="103"/>
      <c r="S69" s="103"/>
      <c r="T69" s="103"/>
      <c r="U69" s="104"/>
      <c r="V69" s="104"/>
      <c r="W69" s="104"/>
      <c r="X69" s="104"/>
    </row>
    <row r="70" spans="1:24" s="53" customFormat="1" ht="12" hidden="1" customHeight="1">
      <c r="B70" s="55" t="str">
        <f>IF(B5="English","Waterproof Improvement",IF(B5="中国語","改善耐水性","耐水性向上"))</f>
        <v>Waterproof Improvement</v>
      </c>
      <c r="C70" s="55"/>
      <c r="D70" s="55"/>
      <c r="E70" s="55"/>
      <c r="F70" s="55"/>
      <c r="G70" s="55"/>
      <c r="H70" s="55"/>
      <c r="I70" s="55"/>
      <c r="J70" s="55"/>
      <c r="K70" s="55"/>
      <c r="L70" s="55"/>
      <c r="M70" s="103" t="str">
        <f>IF(B5="English","Others (Cured resin or duromers)",IF(B5="中国語","其他固性树脂","その他の硬化性樹脂"))</f>
        <v>Others (Cured resin or duromers)</v>
      </c>
      <c r="N70" s="103"/>
      <c r="O70" s="103"/>
      <c r="P70" s="103"/>
      <c r="Q70" s="103"/>
      <c r="R70" s="103"/>
      <c r="S70" s="103"/>
      <c r="T70" s="103"/>
      <c r="U70" s="104"/>
      <c r="V70" s="104"/>
      <c r="W70" s="104"/>
      <c r="X70" s="104"/>
    </row>
    <row r="71" spans="1:24" s="53" customFormat="1" ht="12" hidden="1" customHeight="1">
      <c r="B71" s="55" t="str">
        <f>IF(B5="English","Corporate Secret",IF(B5="中国語","企业秘密","企業秘密"))</f>
        <v>Corporate Secret</v>
      </c>
      <c r="C71" s="55"/>
      <c r="D71" s="55"/>
      <c r="E71" s="55"/>
      <c r="F71" s="55"/>
      <c r="G71" s="55"/>
      <c r="H71" s="55"/>
      <c r="I71" s="55"/>
      <c r="J71" s="55"/>
      <c r="K71" s="55"/>
      <c r="L71" s="55"/>
      <c r="M71" s="103" t="str">
        <f>IF(B5="English","Others (Rubber/non-thermoplastic Elastomer)",IF(B5="中国語","其他橡胶（非热塑性）、弹性体","（熱可塑でない）エラストマー／エラストマー複合"))</f>
        <v>Others (Rubber/non-thermoplastic Elastomer)</v>
      </c>
      <c r="N71" s="103"/>
      <c r="O71" s="103"/>
      <c r="P71" s="103"/>
      <c r="Q71" s="103"/>
      <c r="R71" s="103"/>
      <c r="S71" s="103"/>
      <c r="T71" s="103"/>
      <c r="U71" s="104"/>
      <c r="V71" s="104"/>
      <c r="W71" s="104"/>
      <c r="X71" s="104"/>
    </row>
    <row r="72" spans="1:24" s="53" customFormat="1" ht="12" hidden="1" customHeight="1">
      <c r="B72" s="55" t="str">
        <f>IF(B5="English","Others",IF(B5="中国語","不符合","該当無し"))</f>
        <v>Others</v>
      </c>
      <c r="C72" s="55"/>
      <c r="D72" s="55"/>
      <c r="E72" s="55"/>
      <c r="F72" s="55"/>
      <c r="G72" s="55"/>
      <c r="H72" s="55"/>
      <c r="I72" s="55"/>
      <c r="J72" s="55"/>
      <c r="K72" s="55"/>
      <c r="L72" s="55"/>
      <c r="M72" s="103" t="str">
        <f>IF(B5="English","Polymeric compounds",IF(B5="中国語","高分子复合材料","高分子複合材"))</f>
        <v>Polymeric compounds</v>
      </c>
      <c r="N72" s="103"/>
      <c r="O72" s="103"/>
      <c r="P72" s="103"/>
      <c r="Q72" s="103"/>
      <c r="R72" s="103"/>
      <c r="S72" s="103"/>
      <c r="T72" s="103"/>
      <c r="U72" s="104"/>
      <c r="V72" s="104"/>
      <c r="W72" s="104"/>
      <c r="X72" s="104"/>
    </row>
    <row r="73" spans="1:24" s="53" customFormat="1" ht="12" hidden="1" customHeight="1">
      <c r="B73" s="55"/>
      <c r="C73" s="55"/>
      <c r="D73" s="55"/>
      <c r="E73" s="55"/>
      <c r="F73" s="55"/>
      <c r="G73" s="55"/>
      <c r="H73" s="55"/>
      <c r="I73" s="55"/>
      <c r="J73" s="55"/>
      <c r="K73" s="55"/>
      <c r="L73" s="55"/>
      <c r="M73" s="103" t="str">
        <f>IF(B5="English","Plastics (in polymeric compounds)",IF(B5="中国語","高分子复合材中所含树脂","高分子複合材に含まれる樹脂"))</f>
        <v>Plastics (in polymeric compounds)</v>
      </c>
      <c r="N73" s="103"/>
      <c r="O73" s="103"/>
      <c r="P73" s="103"/>
      <c r="Q73" s="103"/>
      <c r="R73" s="103"/>
      <c r="S73" s="103"/>
      <c r="T73" s="103"/>
      <c r="U73" s="104"/>
      <c r="V73" s="104"/>
      <c r="W73" s="104"/>
      <c r="X73" s="104"/>
    </row>
    <row r="74" spans="1:24" s="53" customFormat="1" ht="12" hidden="1" customHeight="1">
      <c r="B74" s="55"/>
      <c r="C74" s="55"/>
      <c r="D74" s="55"/>
      <c r="E74" s="55"/>
      <c r="F74" s="55"/>
      <c r="G74" s="55"/>
      <c r="H74" s="55"/>
      <c r="I74" s="55"/>
      <c r="J74" s="55"/>
      <c r="K74" s="55"/>
      <c r="L74" s="55"/>
      <c r="M74" s="103" t="str">
        <f>IF(B5="English","Textiles (in polymeric compounds)",IF(B5="中国語","高分子复合材中所含纤维","高分子複合材に含まれる繊維"))</f>
        <v>Textiles (in polymeric compounds)</v>
      </c>
      <c r="N74" s="103"/>
      <c r="O74" s="103"/>
      <c r="P74" s="103"/>
      <c r="Q74" s="103"/>
      <c r="R74" s="103"/>
      <c r="S74" s="103"/>
      <c r="T74" s="103"/>
      <c r="U74" s="104"/>
      <c r="V74" s="104"/>
      <c r="W74" s="104"/>
      <c r="X74" s="104"/>
    </row>
    <row r="75" spans="1:24" s="53" customFormat="1" ht="12" hidden="1" customHeight="1">
      <c r="B75" s="55"/>
      <c r="C75" s="55"/>
      <c r="D75" s="55"/>
      <c r="E75" s="55"/>
      <c r="F75" s="55"/>
      <c r="G75" s="55"/>
      <c r="H75" s="55"/>
      <c r="I75" s="55"/>
      <c r="J75" s="55"/>
      <c r="K75" s="55"/>
      <c r="L75" s="55"/>
      <c r="M75" s="103" t="str">
        <f>IF(B5="English","Wood",IF(B5="中国語","木材","木材"))</f>
        <v>Wood</v>
      </c>
      <c r="N75" s="103"/>
      <c r="O75" s="103"/>
      <c r="P75" s="103"/>
      <c r="Q75" s="103"/>
      <c r="R75" s="103"/>
      <c r="S75" s="103"/>
      <c r="T75" s="103"/>
      <c r="U75" s="104"/>
      <c r="V75" s="104"/>
      <c r="W75" s="104"/>
      <c r="X75" s="104"/>
    </row>
    <row r="76" spans="1:24" s="53" customFormat="1" ht="12" hidden="1" customHeight="1">
      <c r="B76" s="55"/>
      <c r="C76" s="55"/>
      <c r="D76" s="55"/>
      <c r="E76" s="55"/>
      <c r="F76" s="55"/>
      <c r="G76" s="55"/>
      <c r="H76" s="55"/>
      <c r="I76" s="55"/>
      <c r="J76" s="55"/>
      <c r="K76" s="55"/>
      <c r="L76" s="55"/>
      <c r="M76" s="103" t="str">
        <f>IF(B5="English","Paper",IF(B5="纸","部位名","紙"))</f>
        <v>Paper</v>
      </c>
      <c r="N76" s="103"/>
      <c r="O76" s="103"/>
      <c r="P76" s="103"/>
      <c r="Q76" s="103"/>
      <c r="R76" s="103"/>
      <c r="S76" s="103"/>
      <c r="T76" s="103"/>
      <c r="U76" s="104"/>
      <c r="V76" s="104"/>
      <c r="W76" s="104"/>
      <c r="X76" s="104"/>
    </row>
    <row r="77" spans="1:24" s="53" customFormat="1" ht="12" hidden="1" customHeight="1">
      <c r="B77" s="55"/>
      <c r="C77" s="55"/>
      <c r="D77" s="55"/>
      <c r="E77" s="55"/>
      <c r="F77" s="55"/>
      <c r="G77" s="55"/>
      <c r="H77" s="55"/>
      <c r="I77" s="55"/>
      <c r="J77" s="55"/>
      <c r="K77" s="55"/>
      <c r="L77" s="55"/>
      <c r="M77" s="103" t="str">
        <f>IF(B5="English","Fiber",IF(B5="中国語","纤维","繊維"))</f>
        <v>Fiber</v>
      </c>
      <c r="N77" s="103"/>
      <c r="O77" s="103"/>
      <c r="P77" s="103"/>
      <c r="Q77" s="103"/>
      <c r="R77" s="103"/>
      <c r="S77" s="103"/>
      <c r="T77" s="103"/>
      <c r="U77" s="104"/>
      <c r="V77" s="104"/>
      <c r="W77" s="104"/>
      <c r="X77" s="104"/>
    </row>
    <row r="78" spans="1:24" s="53" customFormat="1" ht="12" hidden="1" customHeight="1">
      <c r="B78" s="55"/>
      <c r="C78" s="55"/>
      <c r="D78" s="55"/>
      <c r="E78" s="55"/>
      <c r="F78" s="55"/>
      <c r="G78" s="55"/>
      <c r="H78" s="55"/>
      <c r="I78" s="55"/>
      <c r="J78" s="55"/>
      <c r="K78" s="55"/>
      <c r="L78" s="55"/>
      <c r="M78" s="103" t="str">
        <f>IF(B5="English","Leather",IF(B5="中国語","皮革","皮革"))</f>
        <v>Leather</v>
      </c>
      <c r="N78" s="103"/>
      <c r="O78" s="103"/>
      <c r="P78" s="103"/>
      <c r="Q78" s="103"/>
      <c r="R78" s="103"/>
      <c r="S78" s="103"/>
      <c r="T78" s="103"/>
      <c r="U78" s="104"/>
      <c r="V78" s="104"/>
      <c r="W78" s="104"/>
      <c r="X78" s="104"/>
    </row>
    <row r="79" spans="1:24" ht="10.199999999999999" customHeight="1">
      <c r="A79" s="47"/>
      <c r="B79" s="56"/>
      <c r="C79" s="56"/>
      <c r="D79" s="47"/>
      <c r="E79" s="47"/>
      <c r="F79" s="47"/>
      <c r="G79" s="47"/>
      <c r="H79" s="51"/>
      <c r="I79" s="52"/>
      <c r="J79" s="52"/>
      <c r="K79" s="52"/>
      <c r="L79" s="52"/>
    </row>
    <row r="80" spans="1:24" s="57" customFormat="1" ht="25.5" customHeight="1">
      <c r="A80" s="348" t="s">
        <v>3</v>
      </c>
      <c r="B80" s="350" t="str">
        <f>IF(B5="English","Component Name",IF(B5="中国語","部品名","部品名"))</f>
        <v>Component Name</v>
      </c>
      <c r="C80" s="101" t="str">
        <f>IF(B5="English","Quantity",IF(B5="中国語","数量","数"))</f>
        <v>Quantity</v>
      </c>
      <c r="D80" s="340" t="str">
        <f>IF(B5="English","Region Name",IF(B5="中国語","部位名","部位名"))</f>
        <v>Region Name</v>
      </c>
      <c r="E80" s="352" t="str">
        <f>IF(B5="English","Material Name",IF(B5="中国語","材料名","材料名"))</f>
        <v>Material Name</v>
      </c>
      <c r="F80" s="353"/>
      <c r="G80" s="354"/>
      <c r="H80" s="340" t="str">
        <f>IF(B5="English","Raw material manufacturer",IF(B5="中国語","材料制造商","材料メーカー"))</f>
        <v>Raw material manufacturer</v>
      </c>
      <c r="I80" s="340" t="str">
        <f>IF(B5="English","Model(Type)",IF(C5="中国語"," 型式（Type）","型式（Type）"))</f>
        <v>Model(Type)</v>
      </c>
      <c r="J80" s="342" t="str">
        <f>IF(B5="English","Region Mass",IF(B5="中国語","部位的
质量","部位質量"))</f>
        <v>Region Mass</v>
      </c>
      <c r="K80" s="343"/>
      <c r="L80" s="344"/>
      <c r="M80" s="100" t="str">
        <f>IF(B5="English","Total Region Mass",IF(B5="中国語","総部位的
质量","総部位
質量"))</f>
        <v>Total Region Mass</v>
      </c>
      <c r="N80" s="345" t="str">
        <f>IF(B5="English","Substance Name",IF(B5="中国語","物质名称","物質名"))</f>
        <v>Substance Name</v>
      </c>
      <c r="O80" s="345" t="str">
        <f>IF(B5="English","CAS/No.",IF(B5="中国語","CAS番号","CAS番号"))</f>
        <v>CAS/No.</v>
      </c>
      <c r="P80" s="345" t="str">
        <f>IF(B5="English","Concentration(wt%)",IF(B5="中国語","含有率(wt%)","含有率(wt%)"))</f>
        <v>Concentration(wt%)</v>
      </c>
      <c r="Q80" s="115" t="str">
        <f>IF(B5="English","Substance Mass",IF(B5="中国語","物质的
质量","物質質量"))</f>
        <v>Substance Mass</v>
      </c>
      <c r="R80" s="345" t="str">
        <f>IF(B5="English","Cause of Use",IF(B5="中国語","使用目的
・用途","使用目的
・用途"))</f>
        <v>Cause of Use</v>
      </c>
      <c r="S80" s="334" t="str">
        <f>IF(B5="English","RoHS directive exemption No.",IF(B5="中国語","RoHS指令
适用除外No.","RoHS指令
適用除外.No."))</f>
        <v>RoHS directive exemption No.</v>
      </c>
      <c r="T80" s="336" t="str">
        <f>IF(B5="English","Intentional or Impurity,
Note",IF(B5="中国語","有意/杂质, 
备注","意図的/不純物, 
備考"))</f>
        <v>Intentional or Impurity,
Note</v>
      </c>
    </row>
    <row r="81" spans="1:23" s="57" customFormat="1" ht="18.75" customHeight="1">
      <c r="A81" s="349"/>
      <c r="B81" s="341"/>
      <c r="C81" s="107" t="str">
        <f>G24</f>
        <v>pcs</v>
      </c>
      <c r="D81" s="351"/>
      <c r="E81" s="355"/>
      <c r="F81" s="356"/>
      <c r="G81" s="357"/>
      <c r="H81" s="341"/>
      <c r="I81" s="341"/>
      <c r="J81" s="58" t="str">
        <f>E24</f>
        <v>g</v>
      </c>
      <c r="K81" s="59" t="s">
        <v>20</v>
      </c>
      <c r="L81" s="60" t="str">
        <f>G24</f>
        <v>pcs</v>
      </c>
      <c r="M81" s="61" t="str">
        <f>E24</f>
        <v>g</v>
      </c>
      <c r="N81" s="341"/>
      <c r="O81" s="341"/>
      <c r="P81" s="341"/>
      <c r="Q81" s="62" t="str">
        <f>E24</f>
        <v>g</v>
      </c>
      <c r="R81" s="341"/>
      <c r="S81" s="335"/>
      <c r="T81" s="337"/>
    </row>
    <row r="82" spans="1:23" s="57" customFormat="1">
      <c r="A82" s="63">
        <v>1</v>
      </c>
      <c r="B82" s="105" t="s">
        <v>7</v>
      </c>
      <c r="C82" s="114">
        <v>2</v>
      </c>
      <c r="D82" s="113" t="s">
        <v>22</v>
      </c>
      <c r="E82" s="328" t="s">
        <v>28</v>
      </c>
      <c r="F82" s="329"/>
      <c r="G82" s="330"/>
      <c r="H82" s="64"/>
      <c r="I82" s="64"/>
      <c r="J82" s="338">
        <v>1</v>
      </c>
      <c r="K82" s="339"/>
      <c r="L82" s="333"/>
      <c r="M82" s="65">
        <f t="shared" ref="M82:M101" si="0">IF(J82="","",V82*J82)</f>
        <v>2</v>
      </c>
      <c r="N82" s="66" t="s">
        <v>27</v>
      </c>
      <c r="O82" s="105"/>
      <c r="P82" s="67">
        <v>70</v>
      </c>
      <c r="Q82" s="68">
        <f t="shared" ref="Q82:Q101" si="1">IF(P82="","",W82*P82/100)</f>
        <v>1.4</v>
      </c>
      <c r="R82" s="69" t="s">
        <v>35</v>
      </c>
      <c r="S82" s="70"/>
      <c r="T82" s="71"/>
      <c r="V82" s="72">
        <f>C82</f>
        <v>2</v>
      </c>
      <c r="W82" s="72">
        <f>M82</f>
        <v>2</v>
      </c>
    </row>
    <row r="83" spans="1:23" s="57" customFormat="1">
      <c r="A83" s="63">
        <v>2</v>
      </c>
      <c r="B83" s="105"/>
      <c r="C83" s="114"/>
      <c r="D83" s="113"/>
      <c r="E83" s="328"/>
      <c r="F83" s="329"/>
      <c r="G83" s="330"/>
      <c r="H83" s="64"/>
      <c r="I83" s="64"/>
      <c r="J83" s="331"/>
      <c r="K83" s="332"/>
      <c r="L83" s="333"/>
      <c r="M83" s="65" t="str">
        <f t="shared" si="0"/>
        <v/>
      </c>
      <c r="N83" s="66" t="s">
        <v>21</v>
      </c>
      <c r="O83" s="105"/>
      <c r="P83" s="67">
        <v>20</v>
      </c>
      <c r="Q83" s="68">
        <f t="shared" si="1"/>
        <v>0.4</v>
      </c>
      <c r="R83" s="69" t="s">
        <v>36</v>
      </c>
      <c r="S83" s="70"/>
      <c r="T83" s="71"/>
      <c r="V83" s="73">
        <f t="shared" ref="V83:V101" si="2">IF(C83="",V82,C83)</f>
        <v>2</v>
      </c>
      <c r="W83" s="73">
        <f t="shared" ref="W83:W101" si="3">IF(M83="",W82,M83)</f>
        <v>2</v>
      </c>
    </row>
    <row r="84" spans="1:23" s="57" customFormat="1">
      <c r="A84" s="63">
        <v>3</v>
      </c>
      <c r="B84" s="105"/>
      <c r="C84" s="114"/>
      <c r="D84" s="113"/>
      <c r="E84" s="328"/>
      <c r="F84" s="329"/>
      <c r="G84" s="330"/>
      <c r="H84" s="64"/>
      <c r="I84" s="64"/>
      <c r="J84" s="331"/>
      <c r="K84" s="332"/>
      <c r="L84" s="333"/>
      <c r="M84" s="65" t="str">
        <f t="shared" si="0"/>
        <v/>
      </c>
      <c r="N84" s="74" t="s">
        <v>9</v>
      </c>
      <c r="O84" s="75"/>
      <c r="P84" s="67">
        <v>10</v>
      </c>
      <c r="Q84" s="68">
        <f t="shared" si="1"/>
        <v>0.2</v>
      </c>
      <c r="R84" s="69" t="s">
        <v>37</v>
      </c>
      <c r="S84" s="70"/>
      <c r="T84" s="71"/>
      <c r="V84" s="73">
        <f t="shared" si="2"/>
        <v>2</v>
      </c>
      <c r="W84" s="73">
        <f t="shared" si="3"/>
        <v>2</v>
      </c>
    </row>
    <row r="85" spans="1:23" s="57" customFormat="1">
      <c r="A85" s="63">
        <v>4</v>
      </c>
      <c r="B85" s="105" t="s">
        <v>5</v>
      </c>
      <c r="C85" s="114">
        <v>8</v>
      </c>
      <c r="D85" s="113" t="s">
        <v>22</v>
      </c>
      <c r="E85" s="328" t="s">
        <v>23</v>
      </c>
      <c r="F85" s="329"/>
      <c r="G85" s="330"/>
      <c r="H85" s="64"/>
      <c r="I85" s="64"/>
      <c r="J85" s="331">
        <v>0.5</v>
      </c>
      <c r="K85" s="332"/>
      <c r="L85" s="333"/>
      <c r="M85" s="65">
        <f t="shared" si="0"/>
        <v>4</v>
      </c>
      <c r="N85" s="74" t="s">
        <v>10</v>
      </c>
      <c r="O85" s="76"/>
      <c r="P85" s="67">
        <v>80</v>
      </c>
      <c r="Q85" s="68">
        <f t="shared" si="1"/>
        <v>3.2</v>
      </c>
      <c r="R85" s="69" t="s">
        <v>35</v>
      </c>
      <c r="S85" s="70"/>
      <c r="T85" s="71"/>
      <c r="V85" s="73">
        <f t="shared" si="2"/>
        <v>8</v>
      </c>
      <c r="W85" s="73">
        <f t="shared" si="3"/>
        <v>4</v>
      </c>
    </row>
    <row r="86" spans="1:23" s="57" customFormat="1">
      <c r="A86" s="63">
        <v>5</v>
      </c>
      <c r="B86" s="105"/>
      <c r="C86" s="114"/>
      <c r="D86" s="113"/>
      <c r="E86" s="328"/>
      <c r="F86" s="329"/>
      <c r="G86" s="330"/>
      <c r="H86" s="64"/>
      <c r="I86" s="64"/>
      <c r="J86" s="331"/>
      <c r="K86" s="332"/>
      <c r="L86" s="333"/>
      <c r="M86" s="65" t="str">
        <f t="shared" si="0"/>
        <v/>
      </c>
      <c r="N86" s="74" t="s">
        <v>11</v>
      </c>
      <c r="O86" s="105"/>
      <c r="P86" s="67">
        <v>20</v>
      </c>
      <c r="Q86" s="68">
        <f t="shared" si="1"/>
        <v>0.8</v>
      </c>
      <c r="R86" s="69" t="s">
        <v>38</v>
      </c>
      <c r="S86" s="70"/>
      <c r="T86" s="71"/>
      <c r="V86" s="73">
        <f t="shared" si="2"/>
        <v>8</v>
      </c>
      <c r="W86" s="73">
        <f t="shared" si="3"/>
        <v>4</v>
      </c>
    </row>
    <row r="87" spans="1:23" s="57" customFormat="1">
      <c r="A87" s="63">
        <v>6</v>
      </c>
      <c r="B87" s="105"/>
      <c r="C87" s="114"/>
      <c r="D87" s="105" t="s">
        <v>24</v>
      </c>
      <c r="E87" s="328" t="s">
        <v>25</v>
      </c>
      <c r="F87" s="329"/>
      <c r="G87" s="330"/>
      <c r="H87" s="64"/>
      <c r="I87" s="64"/>
      <c r="J87" s="331">
        <v>0.3</v>
      </c>
      <c r="K87" s="332"/>
      <c r="L87" s="333"/>
      <c r="M87" s="65">
        <f t="shared" si="0"/>
        <v>2.4</v>
      </c>
      <c r="N87" s="74" t="s">
        <v>8</v>
      </c>
      <c r="O87" s="105"/>
      <c r="P87" s="77">
        <v>100</v>
      </c>
      <c r="Q87" s="68">
        <f t="shared" si="1"/>
        <v>2.4</v>
      </c>
      <c r="R87" s="69" t="s">
        <v>41</v>
      </c>
      <c r="S87" s="70"/>
      <c r="T87" s="71"/>
      <c r="V87" s="73">
        <f t="shared" si="2"/>
        <v>8</v>
      </c>
      <c r="W87" s="73">
        <f t="shared" si="3"/>
        <v>2.4</v>
      </c>
    </row>
    <row r="88" spans="1:23" s="57" customFormat="1">
      <c r="A88" s="63">
        <v>7</v>
      </c>
      <c r="B88" s="105"/>
      <c r="C88" s="114"/>
      <c r="D88" s="113" t="s">
        <v>24</v>
      </c>
      <c r="E88" s="328" t="s">
        <v>26</v>
      </c>
      <c r="F88" s="329"/>
      <c r="G88" s="330"/>
      <c r="H88" s="64"/>
      <c r="I88" s="64"/>
      <c r="J88" s="331">
        <v>0.2</v>
      </c>
      <c r="K88" s="332"/>
      <c r="L88" s="333"/>
      <c r="M88" s="65">
        <f t="shared" si="0"/>
        <v>1.6</v>
      </c>
      <c r="N88" s="74" t="s">
        <v>6</v>
      </c>
      <c r="O88" s="105"/>
      <c r="P88" s="77">
        <v>100</v>
      </c>
      <c r="Q88" s="68">
        <f t="shared" si="1"/>
        <v>1.6</v>
      </c>
      <c r="R88" s="69" t="s">
        <v>42</v>
      </c>
      <c r="S88" s="70"/>
      <c r="T88" s="71"/>
      <c r="V88" s="73">
        <f t="shared" si="2"/>
        <v>8</v>
      </c>
      <c r="W88" s="73">
        <f t="shared" si="3"/>
        <v>1.6</v>
      </c>
    </row>
    <row r="89" spans="1:23" s="57" customFormat="1">
      <c r="A89" s="63">
        <v>8</v>
      </c>
      <c r="B89" s="105"/>
      <c r="C89" s="114"/>
      <c r="D89" s="113"/>
      <c r="E89" s="328"/>
      <c r="F89" s="329"/>
      <c r="G89" s="330"/>
      <c r="H89" s="64"/>
      <c r="I89" s="64"/>
      <c r="J89" s="331"/>
      <c r="K89" s="332"/>
      <c r="L89" s="333"/>
      <c r="M89" s="65" t="str">
        <f t="shared" si="0"/>
        <v/>
      </c>
      <c r="N89" s="74"/>
      <c r="O89" s="105"/>
      <c r="P89" s="77"/>
      <c r="Q89" s="68" t="str">
        <f t="shared" si="1"/>
        <v/>
      </c>
      <c r="R89" s="69"/>
      <c r="S89" s="70"/>
      <c r="T89" s="71"/>
      <c r="V89" s="73">
        <f t="shared" si="2"/>
        <v>8</v>
      </c>
      <c r="W89" s="73">
        <f t="shared" si="3"/>
        <v>1.6</v>
      </c>
    </row>
    <row r="90" spans="1:23" s="57" customFormat="1">
      <c r="A90" s="63">
        <v>9</v>
      </c>
      <c r="B90" s="105"/>
      <c r="C90" s="114"/>
      <c r="D90" s="113"/>
      <c r="E90" s="328"/>
      <c r="F90" s="329"/>
      <c r="G90" s="330"/>
      <c r="H90" s="64"/>
      <c r="I90" s="64"/>
      <c r="J90" s="331"/>
      <c r="K90" s="332"/>
      <c r="L90" s="333"/>
      <c r="M90" s="65" t="str">
        <f t="shared" si="0"/>
        <v/>
      </c>
      <c r="N90" s="74"/>
      <c r="O90" s="105"/>
      <c r="P90" s="77"/>
      <c r="Q90" s="68" t="str">
        <f t="shared" si="1"/>
        <v/>
      </c>
      <c r="R90" s="69"/>
      <c r="S90" s="78"/>
      <c r="T90" s="71"/>
      <c r="V90" s="73">
        <f t="shared" si="2"/>
        <v>8</v>
      </c>
      <c r="W90" s="73">
        <f t="shared" si="3"/>
        <v>1.6</v>
      </c>
    </row>
    <row r="91" spans="1:23" s="57" customFormat="1">
      <c r="A91" s="63">
        <v>10</v>
      </c>
      <c r="B91" s="105"/>
      <c r="C91" s="114"/>
      <c r="D91" s="113"/>
      <c r="E91" s="328"/>
      <c r="F91" s="329"/>
      <c r="G91" s="330"/>
      <c r="H91" s="64"/>
      <c r="I91" s="64"/>
      <c r="J91" s="331"/>
      <c r="K91" s="332"/>
      <c r="L91" s="333"/>
      <c r="M91" s="65" t="str">
        <f t="shared" si="0"/>
        <v/>
      </c>
      <c r="N91" s="74"/>
      <c r="O91" s="105"/>
      <c r="P91" s="77"/>
      <c r="Q91" s="68" t="str">
        <f t="shared" si="1"/>
        <v/>
      </c>
      <c r="R91" s="69"/>
      <c r="S91" s="78"/>
      <c r="T91" s="71"/>
      <c r="V91" s="73">
        <f t="shared" si="2"/>
        <v>8</v>
      </c>
      <c r="W91" s="73">
        <f t="shared" si="3"/>
        <v>1.6</v>
      </c>
    </row>
    <row r="92" spans="1:23" s="57" customFormat="1">
      <c r="A92" s="63">
        <v>11</v>
      </c>
      <c r="B92" s="105"/>
      <c r="C92" s="114"/>
      <c r="D92" s="113"/>
      <c r="E92" s="328"/>
      <c r="F92" s="329"/>
      <c r="G92" s="330"/>
      <c r="H92" s="64"/>
      <c r="I92" s="64"/>
      <c r="J92" s="331"/>
      <c r="K92" s="332"/>
      <c r="L92" s="333"/>
      <c r="M92" s="65" t="str">
        <f t="shared" si="0"/>
        <v/>
      </c>
      <c r="N92" s="74"/>
      <c r="O92" s="105"/>
      <c r="P92" s="77"/>
      <c r="Q92" s="68" t="str">
        <f t="shared" si="1"/>
        <v/>
      </c>
      <c r="R92" s="69"/>
      <c r="S92" s="78"/>
      <c r="T92" s="71"/>
      <c r="V92" s="73">
        <f t="shared" si="2"/>
        <v>8</v>
      </c>
      <c r="W92" s="73">
        <f t="shared" si="3"/>
        <v>1.6</v>
      </c>
    </row>
    <row r="93" spans="1:23" s="57" customFormat="1">
      <c r="A93" s="63">
        <v>12</v>
      </c>
      <c r="B93" s="105"/>
      <c r="C93" s="114"/>
      <c r="D93" s="113"/>
      <c r="E93" s="328"/>
      <c r="F93" s="329"/>
      <c r="G93" s="330"/>
      <c r="H93" s="64"/>
      <c r="I93" s="64"/>
      <c r="J93" s="331"/>
      <c r="K93" s="332"/>
      <c r="L93" s="333"/>
      <c r="M93" s="65" t="str">
        <f t="shared" si="0"/>
        <v/>
      </c>
      <c r="N93" s="74"/>
      <c r="O93" s="105"/>
      <c r="P93" s="67"/>
      <c r="Q93" s="68" t="str">
        <f t="shared" si="1"/>
        <v/>
      </c>
      <c r="R93" s="69"/>
      <c r="S93" s="70"/>
      <c r="T93" s="71"/>
      <c r="V93" s="73">
        <f t="shared" si="2"/>
        <v>8</v>
      </c>
      <c r="W93" s="73">
        <f t="shared" si="3"/>
        <v>1.6</v>
      </c>
    </row>
    <row r="94" spans="1:23" s="57" customFormat="1">
      <c r="A94" s="63">
        <v>13</v>
      </c>
      <c r="B94" s="105"/>
      <c r="C94" s="114"/>
      <c r="D94" s="113"/>
      <c r="E94" s="328"/>
      <c r="F94" s="329"/>
      <c r="G94" s="330"/>
      <c r="H94" s="64"/>
      <c r="I94" s="64"/>
      <c r="J94" s="331"/>
      <c r="K94" s="332"/>
      <c r="L94" s="333"/>
      <c r="M94" s="65" t="str">
        <f t="shared" si="0"/>
        <v/>
      </c>
      <c r="N94" s="74"/>
      <c r="O94" s="105"/>
      <c r="P94" s="67"/>
      <c r="Q94" s="68" t="str">
        <f t="shared" si="1"/>
        <v/>
      </c>
      <c r="R94" s="69"/>
      <c r="S94" s="70"/>
      <c r="T94" s="71"/>
      <c r="V94" s="73">
        <f t="shared" si="2"/>
        <v>8</v>
      </c>
      <c r="W94" s="73">
        <f t="shared" si="3"/>
        <v>1.6</v>
      </c>
    </row>
    <row r="95" spans="1:23" s="57" customFormat="1">
      <c r="A95" s="63">
        <v>14</v>
      </c>
      <c r="B95" s="105"/>
      <c r="C95" s="114"/>
      <c r="D95" s="113"/>
      <c r="E95" s="328"/>
      <c r="F95" s="329"/>
      <c r="G95" s="330"/>
      <c r="H95" s="64"/>
      <c r="I95" s="64"/>
      <c r="J95" s="331"/>
      <c r="K95" s="332"/>
      <c r="L95" s="333"/>
      <c r="M95" s="65" t="str">
        <f t="shared" si="0"/>
        <v/>
      </c>
      <c r="N95" s="74"/>
      <c r="O95" s="105"/>
      <c r="P95" s="67"/>
      <c r="Q95" s="68" t="str">
        <f t="shared" si="1"/>
        <v/>
      </c>
      <c r="R95" s="69"/>
      <c r="S95" s="70"/>
      <c r="T95" s="71"/>
      <c r="V95" s="73">
        <f t="shared" si="2"/>
        <v>8</v>
      </c>
      <c r="W95" s="73">
        <f t="shared" si="3"/>
        <v>1.6</v>
      </c>
    </row>
    <row r="96" spans="1:23" s="57" customFormat="1">
      <c r="A96" s="63">
        <v>15</v>
      </c>
      <c r="B96" s="105"/>
      <c r="C96" s="114"/>
      <c r="D96" s="113"/>
      <c r="E96" s="328"/>
      <c r="F96" s="329"/>
      <c r="G96" s="330"/>
      <c r="H96" s="64"/>
      <c r="I96" s="64"/>
      <c r="J96" s="331"/>
      <c r="K96" s="332"/>
      <c r="L96" s="333"/>
      <c r="M96" s="65" t="str">
        <f t="shared" si="0"/>
        <v/>
      </c>
      <c r="N96" s="74"/>
      <c r="O96" s="105"/>
      <c r="P96" s="67"/>
      <c r="Q96" s="68" t="str">
        <f t="shared" si="1"/>
        <v/>
      </c>
      <c r="R96" s="69"/>
      <c r="S96" s="70"/>
      <c r="T96" s="71"/>
      <c r="V96" s="73">
        <f t="shared" si="2"/>
        <v>8</v>
      </c>
      <c r="W96" s="73">
        <f t="shared" si="3"/>
        <v>1.6</v>
      </c>
    </row>
    <row r="97" spans="1:23" s="57" customFormat="1">
      <c r="A97" s="63">
        <v>16</v>
      </c>
      <c r="B97" s="105"/>
      <c r="C97" s="114"/>
      <c r="D97" s="113"/>
      <c r="E97" s="328"/>
      <c r="F97" s="329"/>
      <c r="G97" s="330"/>
      <c r="H97" s="64"/>
      <c r="I97" s="64"/>
      <c r="J97" s="331"/>
      <c r="K97" s="332"/>
      <c r="L97" s="333"/>
      <c r="M97" s="65" t="str">
        <f t="shared" si="0"/>
        <v/>
      </c>
      <c r="N97" s="74"/>
      <c r="O97" s="105"/>
      <c r="P97" s="67"/>
      <c r="Q97" s="68" t="str">
        <f t="shared" si="1"/>
        <v/>
      </c>
      <c r="R97" s="69"/>
      <c r="S97" s="70"/>
      <c r="T97" s="79"/>
      <c r="V97" s="73">
        <f t="shared" si="2"/>
        <v>8</v>
      </c>
      <c r="W97" s="73">
        <f t="shared" si="3"/>
        <v>1.6</v>
      </c>
    </row>
    <row r="98" spans="1:23" s="57" customFormat="1">
      <c r="A98" s="63">
        <v>17</v>
      </c>
      <c r="B98" s="105"/>
      <c r="C98" s="114"/>
      <c r="D98" s="113"/>
      <c r="E98" s="328"/>
      <c r="F98" s="329"/>
      <c r="G98" s="330"/>
      <c r="H98" s="64"/>
      <c r="I98" s="64"/>
      <c r="J98" s="331"/>
      <c r="K98" s="332"/>
      <c r="L98" s="333"/>
      <c r="M98" s="65" t="str">
        <f t="shared" si="0"/>
        <v/>
      </c>
      <c r="N98" s="74"/>
      <c r="O98" s="105"/>
      <c r="P98" s="67"/>
      <c r="Q98" s="68" t="str">
        <f t="shared" si="1"/>
        <v/>
      </c>
      <c r="R98" s="69"/>
      <c r="S98" s="70"/>
      <c r="T98" s="71"/>
      <c r="V98" s="73">
        <f t="shared" si="2"/>
        <v>8</v>
      </c>
      <c r="W98" s="73">
        <f t="shared" si="3"/>
        <v>1.6</v>
      </c>
    </row>
    <row r="99" spans="1:23" s="57" customFormat="1">
      <c r="A99" s="63">
        <v>18</v>
      </c>
      <c r="B99" s="105"/>
      <c r="C99" s="114"/>
      <c r="D99" s="113"/>
      <c r="E99" s="328"/>
      <c r="F99" s="329"/>
      <c r="G99" s="330"/>
      <c r="H99" s="64"/>
      <c r="I99" s="64"/>
      <c r="J99" s="331"/>
      <c r="K99" s="332"/>
      <c r="L99" s="333"/>
      <c r="M99" s="65" t="str">
        <f t="shared" si="0"/>
        <v/>
      </c>
      <c r="N99" s="74"/>
      <c r="O99" s="105"/>
      <c r="P99" s="67"/>
      <c r="Q99" s="68" t="str">
        <f t="shared" si="1"/>
        <v/>
      </c>
      <c r="R99" s="69"/>
      <c r="S99" s="70"/>
      <c r="T99" s="79"/>
      <c r="V99" s="73">
        <f t="shared" si="2"/>
        <v>8</v>
      </c>
      <c r="W99" s="73">
        <f t="shared" si="3"/>
        <v>1.6</v>
      </c>
    </row>
    <row r="100" spans="1:23" s="57" customFormat="1">
      <c r="A100" s="63">
        <v>19</v>
      </c>
      <c r="B100" s="105"/>
      <c r="C100" s="114"/>
      <c r="D100" s="113"/>
      <c r="E100" s="328"/>
      <c r="F100" s="329"/>
      <c r="G100" s="330"/>
      <c r="H100" s="64"/>
      <c r="I100" s="64"/>
      <c r="J100" s="331"/>
      <c r="K100" s="332"/>
      <c r="L100" s="333"/>
      <c r="M100" s="65" t="str">
        <f t="shared" si="0"/>
        <v/>
      </c>
      <c r="N100" s="74"/>
      <c r="O100" s="105"/>
      <c r="P100" s="67"/>
      <c r="Q100" s="68" t="str">
        <f t="shared" si="1"/>
        <v/>
      </c>
      <c r="R100" s="69"/>
      <c r="S100" s="70"/>
      <c r="T100" s="79"/>
      <c r="V100" s="73">
        <f t="shared" si="2"/>
        <v>8</v>
      </c>
      <c r="W100" s="73">
        <f t="shared" si="3"/>
        <v>1.6</v>
      </c>
    </row>
    <row r="101" spans="1:23" s="57" customFormat="1">
      <c r="A101" s="63">
        <v>20</v>
      </c>
      <c r="B101" s="105"/>
      <c r="C101" s="114"/>
      <c r="D101" s="113"/>
      <c r="E101" s="328"/>
      <c r="F101" s="329"/>
      <c r="G101" s="330"/>
      <c r="H101" s="64"/>
      <c r="I101" s="64"/>
      <c r="J101" s="331"/>
      <c r="K101" s="332"/>
      <c r="L101" s="333"/>
      <c r="M101" s="65" t="str">
        <f t="shared" si="0"/>
        <v/>
      </c>
      <c r="N101" s="80"/>
      <c r="O101" s="105"/>
      <c r="P101" s="67"/>
      <c r="Q101" s="68" t="str">
        <f t="shared" si="1"/>
        <v/>
      </c>
      <c r="R101" s="69"/>
      <c r="S101" s="70"/>
      <c r="T101" s="79"/>
      <c r="V101" s="73">
        <f t="shared" si="2"/>
        <v>8</v>
      </c>
      <c r="W101" s="73">
        <f t="shared" si="3"/>
        <v>1.6</v>
      </c>
    </row>
    <row r="102" spans="1:23" s="57" customFormat="1" ht="28.5" customHeight="1">
      <c r="B102" s="81"/>
      <c r="C102" s="81"/>
      <c r="D102" s="81"/>
      <c r="E102" s="82"/>
      <c r="F102" s="82"/>
      <c r="G102" s="82"/>
      <c r="H102" s="82"/>
      <c r="I102" s="82"/>
      <c r="J102" s="317" t="str">
        <f>IF(B5="English","Total region mas",IF(B5="中国語","総部位的
质量合计","総部位
質量合計"))</f>
        <v>Total region mas</v>
      </c>
      <c r="K102" s="318"/>
      <c r="L102" s="319"/>
      <c r="M102" s="320">
        <f>SUM(M82:M101)</f>
        <v>10</v>
      </c>
      <c r="N102" s="322"/>
      <c r="O102" s="323"/>
      <c r="P102" s="83" t="str">
        <f>IF(B5="English","Total mass",IF(B5="中国語","总质量","物質質量
合計"))</f>
        <v>Total mass</v>
      </c>
      <c r="Q102" s="320">
        <f>SUM(Q82:Q101)</f>
        <v>10</v>
      </c>
      <c r="R102" s="322"/>
      <c r="S102" s="324"/>
      <c r="T102" s="324"/>
    </row>
    <row r="103" spans="1:23" ht="17.25" customHeight="1">
      <c r="B103" s="2"/>
      <c r="D103" s="84"/>
      <c r="E103" s="84"/>
      <c r="F103" s="84"/>
      <c r="G103" s="84"/>
      <c r="H103" s="85"/>
      <c r="I103" s="86"/>
      <c r="J103" s="325" t="str">
        <f>E24</f>
        <v>g</v>
      </c>
      <c r="K103" s="326"/>
      <c r="L103" s="327"/>
      <c r="M103" s="321"/>
      <c r="N103" s="87"/>
      <c r="O103" s="84"/>
      <c r="P103" s="88" t="str">
        <f>E24</f>
        <v>g</v>
      </c>
      <c r="Q103" s="321"/>
      <c r="R103" s="8"/>
      <c r="S103" s="89"/>
    </row>
    <row r="104" spans="1:23" ht="17.25" customHeight="1">
      <c r="I104" s="87"/>
      <c r="J104" s="87"/>
      <c r="K104" s="87"/>
      <c r="L104" s="87"/>
      <c r="M104" s="87"/>
      <c r="N104" s="90"/>
      <c r="O104" s="87"/>
      <c r="P104" s="28"/>
      <c r="Q104" s="28"/>
      <c r="R104" s="91"/>
      <c r="S104" s="315" t="s">
        <v>17</v>
      </c>
      <c r="T104" s="316"/>
    </row>
    <row r="105" spans="1:23" ht="20.100000000000001" customHeight="1">
      <c r="I105" s="87"/>
      <c r="J105" s="87"/>
      <c r="K105" s="87"/>
      <c r="L105" s="87"/>
      <c r="M105" s="87"/>
      <c r="N105" s="90"/>
      <c r="O105" s="87"/>
      <c r="P105" s="28"/>
      <c r="Q105" s="28"/>
      <c r="R105" s="89"/>
      <c r="S105" s="92"/>
    </row>
    <row r="106" spans="1:23" ht="16.2" customHeight="1">
      <c r="A106" s="93"/>
      <c r="B106" s="97"/>
      <c r="C106" s="102"/>
      <c r="D106" s="102"/>
      <c r="E106" s="25"/>
      <c r="F106" s="25"/>
      <c r="G106" s="25"/>
      <c r="H106" s="25"/>
      <c r="O106" s="1"/>
    </row>
    <row r="107" spans="1:23" ht="16.2" customHeight="1">
      <c r="A107" s="94"/>
      <c r="B107" s="2"/>
      <c r="D107" s="102"/>
      <c r="E107" s="95"/>
      <c r="F107" s="95"/>
      <c r="G107" s="95"/>
      <c r="H107" s="95"/>
      <c r="O107" s="1"/>
    </row>
    <row r="108" spans="1:23" ht="16.2" customHeight="1">
      <c r="A108" s="96"/>
      <c r="D108" s="116"/>
      <c r="E108" s="116"/>
      <c r="F108" s="116"/>
      <c r="G108" s="116"/>
      <c r="H108" s="116"/>
      <c r="I108" s="97"/>
      <c r="J108" s="97"/>
      <c r="K108" s="97"/>
      <c r="L108" s="97"/>
      <c r="M108" s="97"/>
      <c r="O108" s="1"/>
    </row>
    <row r="109" spans="1:23" ht="16.2" customHeight="1">
      <c r="A109" s="93"/>
      <c r="O109" s="1"/>
      <c r="S109" s="90"/>
    </row>
    <row r="110" spans="1:23" ht="16.2" customHeight="1">
      <c r="A110" s="93"/>
      <c r="B110" s="98"/>
      <c r="S110" s="99"/>
      <c r="T110" s="99"/>
    </row>
  </sheetData>
  <mergeCells count="97">
    <mergeCell ref="B5:J5"/>
    <mergeCell ref="B7:M7"/>
    <mergeCell ref="O8:Q8"/>
    <mergeCell ref="O9:Q9"/>
    <mergeCell ref="B10:H10"/>
    <mergeCell ref="O10:Q10"/>
    <mergeCell ref="B11:H11"/>
    <mergeCell ref="O11:Q11"/>
    <mergeCell ref="B14:C14"/>
    <mergeCell ref="D14:H14"/>
    <mergeCell ref="I14:M14"/>
    <mergeCell ref="N14:Q14"/>
    <mergeCell ref="B15:C15"/>
    <mergeCell ref="D15:H15"/>
    <mergeCell ref="I15:M15"/>
    <mergeCell ref="N15:Q15"/>
    <mergeCell ref="B16:C16"/>
    <mergeCell ref="D16:H16"/>
    <mergeCell ref="I16:M16"/>
    <mergeCell ref="N16:Q16"/>
    <mergeCell ref="B17:C17"/>
    <mergeCell ref="D17:H17"/>
    <mergeCell ref="I17:M17"/>
    <mergeCell ref="N17:Q17"/>
    <mergeCell ref="B20:C20"/>
    <mergeCell ref="D20:H20"/>
    <mergeCell ref="I20:M20"/>
    <mergeCell ref="N20:Q20"/>
    <mergeCell ref="B21:C21"/>
    <mergeCell ref="D21:H21"/>
    <mergeCell ref="I21:M21"/>
    <mergeCell ref="N21:Q21"/>
    <mergeCell ref="B22:C22"/>
    <mergeCell ref="D22:H22"/>
    <mergeCell ref="I22:M22"/>
    <mergeCell ref="N22:Q22"/>
    <mergeCell ref="B24:C24"/>
    <mergeCell ref="A80:A81"/>
    <mergeCell ref="B80:B81"/>
    <mergeCell ref="D80:D81"/>
    <mergeCell ref="E80:G81"/>
    <mergeCell ref="S80:S81"/>
    <mergeCell ref="T80:T81"/>
    <mergeCell ref="E82:G82"/>
    <mergeCell ref="J82:L82"/>
    <mergeCell ref="E83:G83"/>
    <mergeCell ref="J83:L83"/>
    <mergeCell ref="I80:I81"/>
    <mergeCell ref="J80:L80"/>
    <mergeCell ref="N80:N81"/>
    <mergeCell ref="O80:O81"/>
    <mergeCell ref="P80:P81"/>
    <mergeCell ref="R80:R81"/>
    <mergeCell ref="H80:H81"/>
    <mergeCell ref="E84:G84"/>
    <mergeCell ref="J84:L84"/>
    <mergeCell ref="E85:G85"/>
    <mergeCell ref="J85:L85"/>
    <mergeCell ref="E86:G86"/>
    <mergeCell ref="J86:L86"/>
    <mergeCell ref="E87:G87"/>
    <mergeCell ref="J87:L87"/>
    <mergeCell ref="E88:G88"/>
    <mergeCell ref="J88:L88"/>
    <mergeCell ref="E89:G89"/>
    <mergeCell ref="J89:L89"/>
    <mergeCell ref="E90:G90"/>
    <mergeCell ref="J90:L90"/>
    <mergeCell ref="E91:G91"/>
    <mergeCell ref="J91:L91"/>
    <mergeCell ref="E92:G92"/>
    <mergeCell ref="J92:L92"/>
    <mergeCell ref="E93:G93"/>
    <mergeCell ref="J93:L93"/>
    <mergeCell ref="E94:G94"/>
    <mergeCell ref="J94:L94"/>
    <mergeCell ref="E95:G95"/>
    <mergeCell ref="J95:L95"/>
    <mergeCell ref="E96:G96"/>
    <mergeCell ref="J96:L96"/>
    <mergeCell ref="E97:G97"/>
    <mergeCell ref="J97:L97"/>
    <mergeCell ref="E98:G98"/>
    <mergeCell ref="J98:L98"/>
    <mergeCell ref="E99:G99"/>
    <mergeCell ref="J99:L99"/>
    <mergeCell ref="E100:G100"/>
    <mergeCell ref="J100:L100"/>
    <mergeCell ref="E101:G101"/>
    <mergeCell ref="J101:L101"/>
    <mergeCell ref="S104:T104"/>
    <mergeCell ref="J102:L102"/>
    <mergeCell ref="M102:M103"/>
    <mergeCell ref="N102:O102"/>
    <mergeCell ref="Q102:Q103"/>
    <mergeCell ref="R102:T102"/>
    <mergeCell ref="J103:L103"/>
  </mergeCells>
  <phoneticPr fontId="2"/>
  <conditionalFormatting sqref="J70:L70 O70">
    <cfRule type="expression" dxfId="1" priority="1" stopIfTrue="1">
      <formula>$A$14&lt;&gt;""</formula>
    </cfRule>
  </conditionalFormatting>
  <dataValidations count="9">
    <dataValidation type="list" allowBlank="1" showInputMessage="1" showErrorMessage="1" promptTitle="=Weight/1pcs" prompt="(Weight of one product)_x000a__x000a_*** mg/pcs_x000a_*** mg/m_x000a_*** mg/m2_x000a_*** g/pcs_x000a_*** g/m_x000a_*** g/m2" sqref="E24">
      <formula1>"mg,g"</formula1>
    </dataValidation>
    <dataValidation type="list" allowBlank="1" showInputMessage="1" showErrorMessage="1" sqref="M5:M6">
      <formula1>$W$5:$W$9</formula1>
    </dataValidation>
    <dataValidation imeMode="off" allowBlank="1" showInputMessage="1" showErrorMessage="1" sqref="A82:A101 O82:Q101 S82:S101 I82:K101 N20:Q22 N14:Q15 M82:M101 D24 D20:H22 D14:H14"/>
    <dataValidation type="list" allowBlank="1" showInputMessage="1" showErrorMessage="1" sqref="K5:L6 B5:J5">
      <formula1>$W$7:$W$9</formula1>
    </dataValidation>
    <dataValidation type="list" allowBlank="1" showInputMessage="1" showErrorMessage="1" promptTitle="=Weight/1pcs" prompt="(Weight of one prosuct)_x000a__x000a_*** mg/pcs_x000a_*** mg/m_x000a_*** mg/m2_x000a_*** g/pcs_x000a_*** g/m_x000a_*** g/m2" sqref="L81 J81">
      <formula1>"mg,g"</formula1>
    </dataValidation>
    <dataValidation type="list" allowBlank="1" showInputMessage="1" showErrorMessage="1" promptTitle="=Weight/1pcs" prompt="(Weight of one product)_x000a__x000a_*** mg/pcs_x000a_*** mg/m_x000a_*** mg/m2_x000a_*** g/pcs_x000a_*** g/m_x000a_*** g/m2" sqref="G24">
      <formula1>"pcs,m,m2,"</formula1>
    </dataValidation>
    <dataValidation type="list" allowBlank="1" showInputMessage="1" sqref="D82:D101">
      <formula1>$M$27:$X$27</formula1>
    </dataValidation>
    <dataValidation type="list" allowBlank="1" showInputMessage="1" sqref="E82:G101">
      <formula1>INDIRECT(D82)</formula1>
    </dataValidation>
    <dataValidation type="list" allowBlank="1" showInputMessage="1" sqref="R82:R101">
      <formula1>$B$27:$B$72</formula1>
    </dataValidation>
  </dataValidations>
  <pageMargins left="0.27559055118110237" right="0.19685039370078741" top="0.19685039370078741" bottom="0.19685039370078741" header="0.31496062992125984" footer="0.19685039370078741"/>
  <pageSetup paperSize="9" scale="61" orientation="landscape" r:id="rId1"/>
  <headerFooter alignWithMargins="0">
    <oddFooter>&amp;CMiinebeaMitsumi Inc.</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D110"/>
  <sheetViews>
    <sheetView showGridLines="0" zoomScale="70" zoomScaleNormal="70" workbookViewId="0">
      <selection activeCell="X1" sqref="X1"/>
    </sheetView>
  </sheetViews>
  <sheetFormatPr defaultColWidth="9" defaultRowHeight="15.6"/>
  <cols>
    <col min="1" max="1" width="3.109375" style="46" customWidth="1"/>
    <col min="2" max="2" width="15.6640625" style="46" customWidth="1"/>
    <col min="3" max="3" width="8.6640625" style="46" customWidth="1"/>
    <col min="4" max="4" width="14.6640625" style="46" customWidth="1"/>
    <col min="5" max="5" width="8.6640625" style="46" customWidth="1"/>
    <col min="6" max="6" width="0.88671875" style="46" customWidth="1"/>
    <col min="7" max="7" width="8.6640625" style="46" customWidth="1"/>
    <col min="8" max="9" width="12.6640625" style="46" customWidth="1"/>
    <col min="10" max="10" width="3.6640625" style="46" customWidth="1"/>
    <col min="11" max="11" width="0.88671875" style="46" customWidth="1"/>
    <col min="12" max="12" width="4.109375" style="46" customWidth="1"/>
    <col min="13" max="13" width="8.6640625" style="46" customWidth="1"/>
    <col min="14" max="14" width="22.44140625" style="46" customWidth="1"/>
    <col min="15" max="17" width="8.6640625" style="46" customWidth="1"/>
    <col min="18" max="18" width="11.88671875" style="46" customWidth="1"/>
    <col min="19" max="20" width="10.6640625" style="46" customWidth="1"/>
    <col min="21" max="21" width="8.6640625" style="46" customWidth="1"/>
    <col min="22" max="22" width="0" style="46" hidden="1" customWidth="1"/>
    <col min="23" max="23" width="9.6640625" style="46" hidden="1" customWidth="1"/>
    <col min="24" max="16384" width="9" style="46"/>
  </cols>
  <sheetData>
    <row r="3" spans="1:30" s="1" customFormat="1" ht="6.75" customHeight="1"/>
    <row r="4" spans="1:30" s="1" customFormat="1" ht="17.25" customHeight="1" thickBot="1">
      <c r="B4" s="1" t="s">
        <v>45</v>
      </c>
    </row>
    <row r="5" spans="1:30" s="1" customFormat="1" ht="16.2" thickBot="1">
      <c r="B5" s="384" t="s">
        <v>16</v>
      </c>
      <c r="C5" s="385"/>
      <c r="D5" s="385"/>
      <c r="E5" s="385"/>
      <c r="F5" s="385"/>
      <c r="G5" s="385"/>
      <c r="H5" s="385"/>
      <c r="I5" s="385"/>
      <c r="J5" s="386"/>
      <c r="K5" s="3"/>
      <c r="L5" s="3"/>
      <c r="M5" s="3"/>
      <c r="W5" s="1" t="s">
        <v>13</v>
      </c>
    </row>
    <row r="6" spans="1:30" s="1" customFormat="1" ht="7.5" customHeight="1">
      <c r="K6" s="3"/>
      <c r="L6" s="3"/>
      <c r="M6" s="3"/>
    </row>
    <row r="7" spans="1:30" s="1" customFormat="1" ht="27.75" customHeight="1">
      <c r="B7" s="387" t="str">
        <f>IF(B5="English","Survey Report of Chemical Substance in Products",IF(B5="中国語","产品含有化学物质调查表","製品含有化学物質調査表"))</f>
        <v>产品含有化学物质调查表</v>
      </c>
      <c r="C7" s="388"/>
      <c r="D7" s="388"/>
      <c r="E7" s="388"/>
      <c r="F7" s="388"/>
      <c r="G7" s="388"/>
      <c r="H7" s="388"/>
      <c r="I7" s="388"/>
      <c r="J7" s="388"/>
      <c r="K7" s="388"/>
      <c r="L7" s="388"/>
      <c r="M7" s="388"/>
      <c r="N7" s="4"/>
      <c r="O7" s="4"/>
      <c r="P7" s="4"/>
      <c r="Q7" s="5"/>
      <c r="R7" s="4"/>
      <c r="S7" s="6"/>
      <c r="T7" s="4"/>
      <c r="U7" s="4"/>
      <c r="V7" s="4"/>
      <c r="W7" s="1" t="s">
        <v>14</v>
      </c>
      <c r="X7" s="4"/>
      <c r="Y7" s="4"/>
      <c r="Z7" s="4"/>
      <c r="AA7" s="5"/>
    </row>
    <row r="8" spans="1:30" s="1" customFormat="1" ht="19.2" customHeight="1">
      <c r="B8" s="4"/>
      <c r="C8" s="4"/>
      <c r="D8" s="4"/>
      <c r="E8" s="4"/>
      <c r="F8" s="4"/>
      <c r="G8" s="4"/>
      <c r="H8" s="4"/>
      <c r="I8" s="4"/>
      <c r="J8" s="4"/>
      <c r="K8" s="4"/>
      <c r="L8" s="4"/>
      <c r="M8" s="4"/>
      <c r="N8" s="4"/>
      <c r="O8" s="389" t="str">
        <f>IF(B5="English","Document No.:",IF(B5="中国語","资料 No.:","資料No.:"))</f>
        <v>资料 No.:</v>
      </c>
      <c r="P8" s="389"/>
      <c r="Q8" s="389"/>
      <c r="R8" s="4"/>
      <c r="S8" s="9"/>
      <c r="T8" s="4"/>
      <c r="U8" s="4"/>
      <c r="V8" s="4"/>
      <c r="W8" s="1" t="s">
        <v>46</v>
      </c>
      <c r="X8" s="10"/>
      <c r="Y8" s="10"/>
      <c r="Z8" s="10"/>
      <c r="AA8" s="9"/>
    </row>
    <row r="9" spans="1:30" s="1" customFormat="1" ht="19.2" customHeight="1">
      <c r="C9" s="12"/>
      <c r="D9" s="12"/>
      <c r="E9" s="12"/>
      <c r="F9" s="12"/>
      <c r="G9" s="12"/>
      <c r="H9" s="12"/>
      <c r="I9" s="12"/>
      <c r="J9" s="12"/>
      <c r="K9" s="12"/>
      <c r="L9" s="12"/>
      <c r="M9" s="12"/>
      <c r="N9" s="12"/>
      <c r="O9" s="390"/>
      <c r="P9" s="390"/>
      <c r="Q9" s="390"/>
      <c r="R9" s="12"/>
      <c r="S9" s="9"/>
      <c r="T9" s="12"/>
      <c r="U9" s="12"/>
      <c r="V9" s="12"/>
      <c r="W9" s="1" t="s">
        <v>16</v>
      </c>
      <c r="X9" s="13"/>
      <c r="Y9" s="14"/>
      <c r="Z9" s="14"/>
      <c r="AA9" s="9"/>
    </row>
    <row r="10" spans="1:30" s="1" customFormat="1" ht="19.2" customHeight="1">
      <c r="B10" s="391"/>
      <c r="C10" s="390"/>
      <c r="D10" s="390"/>
      <c r="E10" s="390"/>
      <c r="F10" s="392"/>
      <c r="G10" s="392"/>
      <c r="H10" s="392"/>
      <c r="I10" s="15"/>
      <c r="J10" s="15"/>
      <c r="K10" s="15"/>
      <c r="L10" s="15"/>
      <c r="M10" s="15"/>
      <c r="N10" s="15"/>
      <c r="O10" s="393" t="str">
        <f>IF(B5="English","Supplier's code No.:",IF(B5="中国語","供应商编码:","取引先コードNo.:"))</f>
        <v>供应商编码:</v>
      </c>
      <c r="P10" s="393"/>
      <c r="Q10" s="393"/>
      <c r="R10" s="15"/>
      <c r="S10" s="16"/>
      <c r="T10" s="15"/>
      <c r="W10" s="17"/>
      <c r="X10" s="17"/>
      <c r="Y10" s="17"/>
      <c r="Z10" s="17"/>
      <c r="AA10" s="16"/>
    </row>
    <row r="11" spans="1:30" s="1" customFormat="1" ht="19.2" customHeight="1">
      <c r="B11" s="378"/>
      <c r="C11" s="379"/>
      <c r="D11" s="379"/>
      <c r="E11" s="379"/>
      <c r="F11" s="380"/>
      <c r="G11" s="380"/>
      <c r="H11" s="380"/>
      <c r="I11" s="11"/>
      <c r="J11" s="11"/>
      <c r="K11" s="11"/>
      <c r="L11" s="11"/>
      <c r="M11" s="11"/>
      <c r="N11" s="11"/>
      <c r="O11" s="381"/>
      <c r="P11" s="381"/>
      <c r="Q11" s="381"/>
      <c r="R11" s="11"/>
      <c r="S11" s="18"/>
      <c r="T11" s="15"/>
      <c r="V11" s="19"/>
      <c r="W11" s="18"/>
      <c r="X11" s="18"/>
      <c r="Y11" s="18"/>
      <c r="Z11" s="18"/>
      <c r="AA11" s="18"/>
      <c r="AB11" s="116"/>
      <c r="AC11" s="116"/>
      <c r="AD11" s="116"/>
    </row>
    <row r="12" spans="1:30" s="1" customFormat="1" ht="10.199999999999999" customHeight="1">
      <c r="B12" s="20"/>
      <c r="C12" s="21"/>
      <c r="D12" s="21"/>
      <c r="E12" s="21"/>
      <c r="F12" s="21"/>
      <c r="G12" s="21"/>
      <c r="H12" s="21"/>
      <c r="I12" s="21"/>
      <c r="J12" s="21"/>
      <c r="K12" s="21"/>
      <c r="L12" s="21"/>
      <c r="M12" s="21"/>
      <c r="N12" s="22"/>
      <c r="O12" s="22"/>
      <c r="P12" s="9"/>
      <c r="Q12" s="23"/>
      <c r="R12" s="23"/>
      <c r="S12" s="22"/>
      <c r="T12" s="22"/>
      <c r="V12" s="24"/>
      <c r="W12" s="18"/>
      <c r="X12" s="18"/>
      <c r="Y12" s="18"/>
      <c r="Z12" s="18"/>
      <c r="AA12" s="18"/>
      <c r="AB12" s="116"/>
      <c r="AC12" s="116"/>
      <c r="AD12" s="116"/>
    </row>
    <row r="13" spans="1:30" s="1" customFormat="1" ht="15" customHeight="1">
      <c r="B13" s="25" t="str">
        <f>IF(B5="English","[Manufacturer to fill out］",IF(B5="中国語","[提出源记入栏］","[提出元記入欄］"))</f>
        <v>[提出源记入栏］</v>
      </c>
      <c r="C13" s="7"/>
      <c r="E13" s="7"/>
      <c r="F13" s="7"/>
      <c r="G13" s="7"/>
      <c r="H13" s="7"/>
      <c r="I13" s="26"/>
      <c r="J13" s="26"/>
      <c r="K13" s="26"/>
      <c r="L13" s="26"/>
      <c r="M13" s="27"/>
      <c r="N13" s="28"/>
      <c r="O13" s="28"/>
      <c r="P13" s="3"/>
      <c r="T13" s="25"/>
      <c r="U13" s="29"/>
      <c r="AB13" s="116"/>
      <c r="AC13" s="116"/>
    </row>
    <row r="14" spans="1:30" s="1" customFormat="1" ht="19.2" customHeight="1">
      <c r="A14" s="3"/>
      <c r="B14" s="231" t="str">
        <f>IF(B5="English","Date(yy.mm.dd)",IF(B5="中国語","发行日","発行日"))</f>
        <v>发行日</v>
      </c>
      <c r="C14" s="364"/>
      <c r="D14" s="382" t="s">
        <v>47</v>
      </c>
      <c r="E14" s="383"/>
      <c r="F14" s="383"/>
      <c r="G14" s="383"/>
      <c r="H14" s="383"/>
      <c r="I14" s="231" t="str">
        <f>IF(B5="English","E-mail",IF(B5="中国語","邮箱地址","メールアドレス"))</f>
        <v>邮箱地址</v>
      </c>
      <c r="J14" s="374"/>
      <c r="K14" s="374"/>
      <c r="L14" s="374"/>
      <c r="M14" s="375"/>
      <c r="N14" s="365" t="s">
        <v>48</v>
      </c>
      <c r="O14" s="376"/>
      <c r="P14" s="376"/>
      <c r="Q14" s="376"/>
      <c r="R14" s="30"/>
      <c r="S14" s="30"/>
      <c r="U14" s="116"/>
      <c r="V14" s="116"/>
      <c r="W14" s="116"/>
      <c r="X14" s="116"/>
      <c r="Y14" s="116"/>
    </row>
    <row r="15" spans="1:30" s="1" customFormat="1" ht="19.2" customHeight="1">
      <c r="A15" s="3"/>
      <c r="B15" s="231" t="str">
        <f>IF(B5="English","Company name",IF(B5="中国語","公司名称","会社名"))</f>
        <v>公司名称</v>
      </c>
      <c r="C15" s="364"/>
      <c r="D15" s="365" t="s">
        <v>47</v>
      </c>
      <c r="E15" s="366"/>
      <c r="F15" s="366"/>
      <c r="G15" s="366"/>
      <c r="H15" s="366"/>
      <c r="I15" s="231" t="str">
        <f>IF(B5="English","Phone number",IF(B5="中国語","电话号码","電話番号"))</f>
        <v>电话号码</v>
      </c>
      <c r="J15" s="374"/>
      <c r="K15" s="374"/>
      <c r="L15" s="374"/>
      <c r="M15" s="375"/>
      <c r="N15" s="365"/>
      <c r="O15" s="376"/>
      <c r="P15" s="376"/>
      <c r="Q15" s="376"/>
      <c r="R15" s="30"/>
      <c r="S15" s="30"/>
      <c r="U15" s="116"/>
      <c r="V15" s="116"/>
      <c r="W15" s="116"/>
      <c r="X15" s="116"/>
      <c r="Y15" s="116"/>
    </row>
    <row r="16" spans="1:30" s="1" customFormat="1" ht="19.2" customHeight="1">
      <c r="A16" s="3"/>
      <c r="B16" s="231" t="str">
        <f>IF(B5="English","Division name",IF(B5="中国語","部门名称","部署名"))</f>
        <v>部门名称</v>
      </c>
      <c r="C16" s="364"/>
      <c r="D16" s="365" t="s">
        <v>2</v>
      </c>
      <c r="E16" s="366"/>
      <c r="F16" s="366"/>
      <c r="G16" s="366"/>
      <c r="H16" s="366"/>
      <c r="I16" s="231" t="str">
        <f>IF(B5="English","Responsible person (in block)",IF(B5="中国語","责任者名","責任者名"))</f>
        <v>责任者名</v>
      </c>
      <c r="J16" s="374"/>
      <c r="K16" s="374"/>
      <c r="L16" s="374"/>
      <c r="M16" s="375"/>
      <c r="N16" s="365" t="s">
        <v>48</v>
      </c>
      <c r="O16" s="377"/>
      <c r="P16" s="377"/>
      <c r="Q16" s="377"/>
      <c r="R16" s="30"/>
      <c r="S16" s="30"/>
      <c r="U16" s="116"/>
      <c r="V16" s="116"/>
      <c r="W16" s="116"/>
      <c r="X16" s="116"/>
      <c r="Y16" s="116"/>
    </row>
    <row r="17" spans="1:27" s="1" customFormat="1" ht="19.2" customHeight="1">
      <c r="B17" s="231" t="str">
        <f>IF(B5="English","Written by ",IF(B5="中国語","填写者名","記入者名"))</f>
        <v>填写者名</v>
      </c>
      <c r="C17" s="364"/>
      <c r="D17" s="365" t="s">
        <v>47</v>
      </c>
      <c r="E17" s="366"/>
      <c r="F17" s="366"/>
      <c r="G17" s="366"/>
      <c r="H17" s="366"/>
      <c r="I17" s="294" t="str">
        <f>IF(B5="English","Signature",IF(B5="中国語","盖章","印"))</f>
        <v>盖章</v>
      </c>
      <c r="J17" s="367"/>
      <c r="K17" s="367"/>
      <c r="L17" s="367"/>
      <c r="M17" s="368"/>
      <c r="N17" s="369" t="str">
        <f>IF(B5="English","",IF(B5="中国語","盖章","印"))</f>
        <v>盖章</v>
      </c>
      <c r="O17" s="370"/>
      <c r="P17" s="370"/>
      <c r="Q17" s="370"/>
      <c r="R17" s="3"/>
      <c r="S17" s="3"/>
    </row>
    <row r="18" spans="1:27" s="1" customFormat="1" ht="10.199999999999999" customHeight="1">
      <c r="O18" s="27"/>
      <c r="P18" s="28"/>
      <c r="Q18" s="28"/>
      <c r="AA18" s="31"/>
    </row>
    <row r="19" spans="1:27" s="1" customFormat="1" ht="14.7" customHeight="1">
      <c r="A19" s="32"/>
      <c r="B19" s="33" t="str">
        <f>IF(B5="English"," Part name or Part number",IF(B5="中国語","品名・品番号・图番号・条款编号","品名・品番・図番・アイテムコード"))</f>
        <v>品名・品番号・图番号・条款编号</v>
      </c>
      <c r="C19" s="32"/>
      <c r="I19" s="34"/>
      <c r="Q19" s="35"/>
    </row>
    <row r="20" spans="1:27" s="1" customFormat="1" ht="19.2" customHeight="1">
      <c r="B20" s="371" t="str">
        <f>IF(B5="English","Our part name, Manufacturer :",IF(B5="中国語","本公司品名(厂家名):","弊社品名(メーカー名)："))</f>
        <v>本公司品名(厂家名):</v>
      </c>
      <c r="C20" s="372"/>
      <c r="D20" s="373"/>
      <c r="E20" s="373"/>
      <c r="F20" s="373"/>
      <c r="G20" s="373"/>
      <c r="H20" s="371"/>
      <c r="I20" s="287" t="str">
        <f>IF(B5="English","Our part, drawing number :",IF(B5="中国語","本公司品番号, 图番 :","弊社品番,図番等："))</f>
        <v>本公司品番号, 图番 :</v>
      </c>
      <c r="J20" s="371"/>
      <c r="K20" s="371"/>
      <c r="L20" s="371"/>
      <c r="M20" s="371"/>
      <c r="N20" s="362"/>
      <c r="O20" s="363"/>
      <c r="P20" s="363"/>
      <c r="Q20" s="363"/>
      <c r="R20" s="36"/>
      <c r="S20" s="36"/>
    </row>
    <row r="21" spans="1:27" s="1" customFormat="1" ht="19.2" customHeight="1">
      <c r="B21" s="358" t="str">
        <f>IF(B5="English","MinebeaMitsumi part name:",IF(B5="中国語","美蓓亚三美G 品名:","ミネベアミツミG品名："))</f>
        <v>美蓓亚三美G 品名:</v>
      </c>
      <c r="C21" s="359"/>
      <c r="D21" s="360"/>
      <c r="E21" s="360"/>
      <c r="F21" s="360"/>
      <c r="G21" s="360"/>
      <c r="H21" s="358"/>
      <c r="I21" s="361" t="str">
        <f>IF(B5="English","MinebeaMitsumi G part No.:",IF(B5="中国語","美蓓亚三美G 品番:","ミネベアミツミG品番："))</f>
        <v>美蓓亚三美G 品番:</v>
      </c>
      <c r="J21" s="358"/>
      <c r="K21" s="358"/>
      <c r="L21" s="358"/>
      <c r="M21" s="358"/>
      <c r="N21" s="362"/>
      <c r="O21" s="363"/>
      <c r="P21" s="363"/>
      <c r="Q21" s="363"/>
      <c r="R21" s="37"/>
      <c r="S21" s="37"/>
    </row>
    <row r="22" spans="1:27" s="1" customFormat="1" ht="19.2" customHeight="1">
      <c r="B22" s="358" t="str">
        <f>IF(B5="English","MinebeaMitsumi Drawing No.:",IF(B5="中国語","美蓓亚三美G 图番","ミネベアミツミG図番："))</f>
        <v>美蓓亚三美G 图番</v>
      </c>
      <c r="C22" s="359"/>
      <c r="D22" s="360"/>
      <c r="E22" s="360"/>
      <c r="F22" s="360"/>
      <c r="G22" s="360"/>
      <c r="H22" s="358"/>
      <c r="I22" s="259" t="str">
        <f>IF(B5="English","MinebeaMitsumi Item code",IF(B5="中国語","美蓓亚三美条款编号","ミネベアミツミGアイテムコード："))</f>
        <v>美蓓亚三美条款编号</v>
      </c>
      <c r="J22" s="358"/>
      <c r="K22" s="358"/>
      <c r="L22" s="358"/>
      <c r="M22" s="358"/>
      <c r="N22" s="362"/>
      <c r="O22" s="363"/>
      <c r="P22" s="363"/>
      <c r="Q22" s="363"/>
      <c r="R22" s="37"/>
      <c r="S22" s="37"/>
    </row>
    <row r="23" spans="1:27" ht="19.2" customHeight="1">
      <c r="A23" s="38"/>
      <c r="B23" s="11"/>
      <c r="C23" s="39"/>
      <c r="D23" s="39"/>
      <c r="E23" s="39"/>
      <c r="F23" s="39"/>
      <c r="G23" s="39"/>
      <c r="H23" s="39"/>
      <c r="I23" s="40"/>
      <c r="J23" s="40"/>
      <c r="K23" s="40"/>
      <c r="L23" s="40"/>
      <c r="M23" s="41"/>
      <c r="N23" s="41"/>
      <c r="O23" s="42"/>
      <c r="P23" s="43"/>
      <c r="Q23" s="44"/>
      <c r="R23" s="44"/>
      <c r="S23" s="45"/>
    </row>
    <row r="24" spans="1:27" ht="19.2" customHeight="1">
      <c r="A24" s="47"/>
      <c r="B24" s="346" t="str">
        <f>IF(B5="English","Product Mass",IF(B5="中国語","产品质量","製品質量"))</f>
        <v>产品质量</v>
      </c>
      <c r="C24" s="347"/>
      <c r="D24" s="106"/>
      <c r="E24" s="48" t="s">
        <v>19</v>
      </c>
      <c r="F24" s="49" t="s">
        <v>49</v>
      </c>
      <c r="G24" s="50" t="s">
        <v>4</v>
      </c>
      <c r="H24" s="51"/>
      <c r="I24" s="52"/>
      <c r="J24" s="52"/>
      <c r="K24" s="52"/>
      <c r="L24" s="52"/>
    </row>
    <row r="25" spans="1:27" ht="10.199999999999999" customHeight="1">
      <c r="A25" s="47"/>
      <c r="B25" s="30"/>
      <c r="C25" s="30"/>
      <c r="D25" s="47"/>
      <c r="E25" s="47"/>
      <c r="F25" s="47"/>
      <c r="G25" s="47"/>
      <c r="H25" s="51"/>
      <c r="I25" s="52"/>
      <c r="J25" s="52"/>
      <c r="K25" s="52"/>
      <c r="L25" s="52"/>
    </row>
    <row r="26" spans="1:27" s="53" customFormat="1" ht="12" hidden="1" customHeight="1">
      <c r="B26" s="54" t="s">
        <v>12</v>
      </c>
      <c r="C26" s="55"/>
      <c r="D26" s="55"/>
      <c r="E26" s="55"/>
      <c r="F26" s="55"/>
      <c r="G26" s="55"/>
      <c r="H26" s="55"/>
      <c r="I26" s="55"/>
      <c r="J26" s="55"/>
      <c r="K26" s="55"/>
      <c r="L26" s="55"/>
      <c r="M26" s="55"/>
      <c r="N26" s="55"/>
      <c r="O26" s="55"/>
      <c r="P26" s="55"/>
      <c r="Q26" s="55"/>
      <c r="R26" s="55"/>
      <c r="S26" s="55"/>
      <c r="T26" s="55"/>
    </row>
    <row r="27" spans="1:27" s="53" customFormat="1" ht="12" hidden="1" customHeight="1">
      <c r="B27" s="55" t="str">
        <f>IF(B5="English","Main Component",IF(B5="中国語","主成分","主成分"))</f>
        <v>主成分</v>
      </c>
      <c r="C27" s="55"/>
      <c r="D27" s="55"/>
      <c r="E27" s="55"/>
      <c r="F27" s="55"/>
      <c r="G27" s="55"/>
      <c r="H27" s="55"/>
      <c r="I27" s="55"/>
      <c r="J27" s="55"/>
      <c r="K27" s="55"/>
      <c r="L27" s="55"/>
      <c r="M27" s="103" t="str">
        <f>IF(B5="English","base_material",IF(B5="中国語","母材","母材"))</f>
        <v>母材</v>
      </c>
      <c r="N27" s="103" t="str">
        <f>IF(B5="English","clad",IF(B5="中国語","包覆","被覆"))</f>
        <v>包覆</v>
      </c>
      <c r="O27" s="103" t="str">
        <f>IF(B5="English","attached_agent",IF(B5="中国語","附着剤","付着剤"))</f>
        <v>附着剤</v>
      </c>
      <c r="P27" s="103" t="str">
        <f>IF(B5="English","inner_preparations",IF(B5="中国語","包含剂_适用于运转用配制品","内包剤_運転用調剤などに適用"))</f>
        <v>包含剂_适用于运转用配制品</v>
      </c>
      <c r="Q27" s="103" t="str">
        <f>IF(B5="English","solder_joint",IF(B5="中国語","焊点","はんだ接合"))</f>
        <v>焊点</v>
      </c>
      <c r="R27" s="103" t="str">
        <f>IF(B5="English","plating",IF(B5="中国語","表面处理_电镀","表面処理系_めっき"))</f>
        <v>表面处理_电镀</v>
      </c>
      <c r="S27" s="104" t="str">
        <f>IF(B5="English","chemical_conversion_treatment",IF(B5="中国語","表面处理_化学合成处理","表面処理系_化成処理"))</f>
        <v>表面处理_化学合成处理</v>
      </c>
      <c r="T27" s="104" t="str">
        <f>IF(B5="English","flame_spray_coating",IF(B5="中国語","表面处理_喷镀","表面処理系_溶射"))</f>
        <v>表面处理_喷镀</v>
      </c>
      <c r="U27" s="104" t="str">
        <f>IF(B5="English","PVD(Physical_Vapor_Deposition)",IF(B5="中国語","表面处理\PVD处理(物的蒸镀)","表面処理系_PVC処理"))</f>
        <v>表面处理\PVD处理(物的蒸镀)</v>
      </c>
      <c r="V27" s="104" t="str">
        <f>IF(B5="English","CVD(Chemical_Vapor_Deposition)",IF(B5="中国語","表面处理_CVD处理_化学的蒸镀","表面処理系_CVD処理"))</f>
        <v>表面处理_CVD处理_化学的蒸镀</v>
      </c>
      <c r="W27" s="104" t="str">
        <f>IF(B5="English","painting",IF(B5="中国語","表面处理_涂装","表面処理系_塗装"))</f>
        <v>表面处理_涂装</v>
      </c>
      <c r="X27" s="104" t="str">
        <f>IF(B5="English","marking",IF(B5="中国語","表面处理_标印","表面処理系_マーキング"))</f>
        <v>表面处理_标印</v>
      </c>
    </row>
    <row r="28" spans="1:27" s="53" customFormat="1" ht="12" hidden="1" customHeight="1">
      <c r="B28" s="55" t="str">
        <f>IF(B5="English","Metal, Alloy Component",IF(B5="中国語","金属、合金成分","金属、合金成分"))</f>
        <v>金属、合金成分</v>
      </c>
      <c r="C28" s="55"/>
      <c r="D28" s="55"/>
      <c r="E28" s="55"/>
      <c r="F28" s="55"/>
      <c r="G28" s="55"/>
      <c r="H28" s="55"/>
      <c r="I28" s="55"/>
      <c r="J28" s="55"/>
      <c r="K28" s="55"/>
      <c r="L28" s="55"/>
      <c r="M28" s="103" t="str">
        <f>IF(B5="English","highly alloyed steel",IF(B5="中国語","高合金钢","高合金鋼"))</f>
        <v>高合金钢</v>
      </c>
      <c r="N28" s="103" t="str">
        <f>IF(B5="English","Ceramics",IF(B5="中国語","陶瓷","セラミック"))</f>
        <v>陶瓷</v>
      </c>
      <c r="O28" s="103" t="str">
        <f>IF(B5="English","filled Thermoplastics",IF(B5="中国語","含有填料带（填料）的热可塑树脂","フィラー(充填材)を含有する熱可塑性樹脂"))</f>
        <v>含有填料带（填料）的热可塑树脂</v>
      </c>
      <c r="P28" s="103" t="str">
        <f>IF(B5="English","Refrigerant",IF(B5="中国語","气体(制冷剂等)","冷媒"))</f>
        <v>气体(制冷剂等)</v>
      </c>
      <c r="Q28" s="103" t="str">
        <f>IF(B5="English","Sn-Pb solder",IF(B5="中国語","有铅焊锡","含鉛はんだ"))</f>
        <v>有铅焊锡</v>
      </c>
      <c r="R28" s="103" t="str">
        <f>IF(B5="English","Zinc plating",IF(B5="中国語","镀锌","亜鉛めっき"))</f>
        <v>镀锌</v>
      </c>
      <c r="S28" s="103" t="str">
        <f>IF(B5="English","Hexavalent chromate film",IF(B5="中国語","铬酸盐膜,六价铬处理","クロメート被膜・６価クロム処理"))</f>
        <v>铬酸盐膜,六价铬处理</v>
      </c>
      <c r="T28" s="103" t="str">
        <f>IF(B5="English","Zinc spray coating",IF(B5="中国語","喷镀锌","亜鉛溶射"))</f>
        <v>喷镀锌</v>
      </c>
      <c r="U28" s="104" t="str">
        <f>IF(B5="English","CrN Coatings",IF(B5="中国語","CrN 涂层","CrN コーティング"))</f>
        <v>CrN 涂层</v>
      </c>
      <c r="V28" s="104" t="str">
        <f>IF(B5="English","CrN Coatings",IF(B5="中国語","CrN 涂层","CrN コーティング"))</f>
        <v>CrN 涂层</v>
      </c>
      <c r="W28" s="104" t="str">
        <f>IF(B5="English","Painted resin",IF(B5="中国語","涂膜树脂","塗膜樹脂"))</f>
        <v>涂膜树脂</v>
      </c>
      <c r="X28" s="104" t="str">
        <f>IF(B5="English","Painted resin",IF(B5="中国語","涂膜树脂","塗膜樹脂"))</f>
        <v>涂膜树脂</v>
      </c>
    </row>
    <row r="29" spans="1:27" s="53" customFormat="1" ht="12" hidden="1" customHeight="1">
      <c r="B29" s="55" t="str">
        <f>IF(B5="English","Resistance Component",IF(B5="中国語","抵抗成分","抵抗成分"))</f>
        <v>抵抗成分</v>
      </c>
      <c r="C29" s="55"/>
      <c r="D29" s="55"/>
      <c r="E29" s="55"/>
      <c r="F29" s="55"/>
      <c r="G29" s="55"/>
      <c r="H29" s="55"/>
      <c r="I29" s="55"/>
      <c r="J29" s="55"/>
      <c r="K29" s="55"/>
      <c r="L29" s="55"/>
      <c r="M29" s="103" t="str">
        <f>IF(B5="English","Highly alloyed cast iron",IF(B5="中国語","高合金铸铁","高合金鋳鉄"))</f>
        <v>高合金铸铁</v>
      </c>
      <c r="N29" s="103" t="str">
        <f>IF(B5="English","Glass",IF(B5="中国語","玻璃","ガラス"))</f>
        <v>玻璃</v>
      </c>
      <c r="O29" s="103" t="str">
        <f>IF(B5="English","PE (Polyethylene)",IF(B5="中国語","聚乙烯(PE)","PE(ポリエチレン)"))</f>
        <v>聚乙烯(PE)</v>
      </c>
      <c r="P29" s="103" t="str">
        <f>IF(B5="English","Lubricants,Brake fluid, etc",IF(B5="中国語","液体(润滑剂、制动液等)","潤滑剤、ブレーキフルード、他"))</f>
        <v>液体(润滑剂、制动液等)</v>
      </c>
      <c r="Q29" s="103" t="str">
        <f>IF(B5="English","Lead-free solder",IF(B5="中国語","无铅焊锡","非鉛はんだ"))</f>
        <v>无铅焊锡</v>
      </c>
      <c r="R29" s="103" t="str">
        <f>IF(B5="English","Nickel plating",IF(B5="中国語","镀镍","ニッケルめっき"))</f>
        <v>镀镍</v>
      </c>
      <c r="S29" s="103" t="str">
        <f>IF(B5="English","Trivalent Chromium Passivation",IF(B5="中国語","三价铬酸盐处理","３価クロメート処理"))</f>
        <v>三价铬酸盐处理</v>
      </c>
      <c r="T29" s="103" t="str">
        <f>IF(B5="English","Aluminum spray coating",IF(B5="中国語","喷镀铝","アルミニウム溶射"))</f>
        <v>喷镀铝</v>
      </c>
      <c r="U29" s="104" t="str">
        <f>IF(B5="English","DLC Coatings",IF(B5="中国語","DLC 涂层","DLC コーティング"))</f>
        <v>DLC 涂层</v>
      </c>
      <c r="V29" s="104" t="str">
        <f>IF(B5="English","DLC Coatings",IF(B5="中国語","DLC 涂层","DLC コーティング"))</f>
        <v>DLC 涂层</v>
      </c>
      <c r="W29" s="104" t="str">
        <f>IF(B5="English","Non electrolytically applied zinc flake coatings (Dacrotizing)",IF(B5="中国語","达克锈金属表面处理","ダクロ処理"))</f>
        <v>达克锈金属表面处理</v>
      </c>
      <c r="X29" s="104" t="str">
        <f>IF(B5="English","Non electrolytically applied zinc flake coatings (Dacrotizing)",IF(B5="中国語","达克锈金属表面处理","ダクロ処理"))</f>
        <v>达克锈金属表面处理</v>
      </c>
    </row>
    <row r="30" spans="1:27" s="53" customFormat="1" ht="12" hidden="1" customHeight="1">
      <c r="B30" s="55" t="str">
        <f>IF(B5="English","Dielectric Component",IF(B5="中国語","感应电体成分","誘電体成分"))</f>
        <v>感应电体成分</v>
      </c>
      <c r="C30" s="55"/>
      <c r="D30" s="55"/>
      <c r="E30" s="55"/>
      <c r="F30" s="55"/>
      <c r="G30" s="55"/>
      <c r="H30" s="55"/>
      <c r="I30" s="55"/>
      <c r="J30" s="55"/>
      <c r="K30" s="55"/>
      <c r="L30" s="55"/>
      <c r="M30" s="103" t="str">
        <f>IF(B5="English","Steels/cast steel/sintered steel",IF(B5="中国語","钢铁/铸钢/烧结合金","鉄鋼/鋳鋼/焼結合金"))</f>
        <v>钢铁/铸钢/烧结合金</v>
      </c>
      <c r="N30" s="103" t="str">
        <f>IF(B5="English","Other inorganic compounds",IF(B5="中国語","其它无机化合物","その他無機化合物"))</f>
        <v>其它无机化合物</v>
      </c>
      <c r="O30" s="103" t="str">
        <f>IF(B5="English","PP(Polypropylene)",IF(B5="中国語","聚丙烯 (PP)","PP(ポリプロピレン) "))</f>
        <v>聚丙烯 (PP)</v>
      </c>
      <c r="P30" s="103" t="str">
        <f>IF(B5="English","Others (Powder,etc)",IF(B5="中国語","其他材料（粉末等）","その他材料（粉体ほか）"))</f>
        <v>其他材料（粉末等）</v>
      </c>
      <c r="Q30" s="103"/>
      <c r="R30" s="103" t="str">
        <f>IF(B5="English","Aluminum plating",IF(B5="中国語","镀铝","アルミニウムめっき"))</f>
        <v>镀铝</v>
      </c>
      <c r="S30" s="103" t="str">
        <f>IF(B5="English","Chromium-free Passivation",IF(B5="中国語","无铬处理","クロムフリー処理"))</f>
        <v>无铬处理</v>
      </c>
      <c r="T30" s="103" t="str">
        <f>IF(B5="English","Build-up thermal spraying",IF(B5="中国語","堆焊喷镀","肉盛溶射"))</f>
        <v>堆焊喷镀</v>
      </c>
      <c r="U30" s="104" t="str">
        <f>IF(B5="English","TiN Coatings",IF(B5="中国語","TiN 涂层","TiN コーティング"))</f>
        <v>TiN 涂层</v>
      </c>
      <c r="V30" s="104" t="str">
        <f>IF(B5="English","TiN Coatings",IF(B5="中国語","TiN 涂层","TiN コーティング"))</f>
        <v>TiN 涂层</v>
      </c>
      <c r="W30" s="104" t="str">
        <f>IF(B5="English","Coating (ceramics)",IF(B5="中国語","涂层（陶瓷）","コーティング（セラミックス）"))</f>
        <v>涂层（陶瓷）</v>
      </c>
      <c r="X30" s="104" t="str">
        <f>IF(B5="English","Coating (ceramics)",IF(B5="中国語","涂层（陶瓷）","コーティング（セラミックス）"))</f>
        <v>涂层（陶瓷）</v>
      </c>
    </row>
    <row r="31" spans="1:27" s="53" customFormat="1" ht="12" hidden="1" customHeight="1">
      <c r="B31" s="55" t="str">
        <f>IF(B5="English","Glass Component",IF(B5="中国語","玻璃成分","ガラス成分"))</f>
        <v>玻璃成分</v>
      </c>
      <c r="C31" s="55"/>
      <c r="D31" s="55"/>
      <c r="E31" s="55"/>
      <c r="F31" s="55"/>
      <c r="G31" s="55"/>
      <c r="H31" s="55"/>
      <c r="I31" s="55"/>
      <c r="J31" s="55"/>
      <c r="K31" s="55"/>
      <c r="L31" s="55"/>
      <c r="M31" s="103" t="str">
        <f>IF(B5="English","unalloyed, low alloyed steel",IF(B5="中国語","非合金,低合金钢","非合金,低合金鋼"))</f>
        <v>非合金,低合金钢</v>
      </c>
      <c r="N31" s="103" t="str">
        <f>IF(B5="English","filled Thermoplastics",IF(B5="中国語","含有填料带（填料）的热可塑树脂","フィラー(充填材)を含有する熱可塑性樹脂"))</f>
        <v>含有填料带（填料）的热可塑树脂</v>
      </c>
      <c r="O31" s="103" t="str">
        <f>IF(B5="English","PS (Polystyrene)",IF(B5="聚苯乙烯 (PS)","部位名","PS(ポリスチレン)"))</f>
        <v>PS(ポリスチレン)</v>
      </c>
      <c r="P31" s="104"/>
      <c r="Q31" s="103"/>
      <c r="R31" s="103" t="str">
        <f>IF(B5="English","Copper plating",IF(B5="中国語","镀铜","銅めっき"))</f>
        <v>镀铜</v>
      </c>
      <c r="S31" s="103" t="str">
        <f>IF(B5="English","GEOMET Coating",IF(B5="中国語","GOMET(无铬)处理","ジオメット処理（ノンクロム）処理"))</f>
        <v>GOMET(无铬)处理</v>
      </c>
      <c r="T31" s="103" t="str">
        <f>IF(B5="English","Thermal spraying of self-fluxing alloy SFCo",IF(B5="中国語","钴自熔性合金喷镀","コバルト自溶合金溶射"))</f>
        <v>钴自熔性合金喷镀</v>
      </c>
      <c r="U31" s="104" t="str">
        <f>IF(B5="English","Gold vapor deposition film(Icd.Sputtering)",IF(B5="中国語","汽化镀金膜（包含喷溅）","金蒸着（スパッタを含む）"))</f>
        <v>汽化镀金膜（包含喷溅）</v>
      </c>
      <c r="V31" s="104" t="str">
        <f>IF(B5="English","Gold vapor deposition film(Icd.Sputtering)",IF(B5="中国語","汽化镀金膜（包含喷溅）","金蒸着（スパッタを含む）"))</f>
        <v>汽化镀金膜（包含喷溅）</v>
      </c>
      <c r="W31" s="104" t="str">
        <f>IF(B5="English","Coating (glass)",IF(B5="中国語","涂层（玻璃）","コーティング（ガラス）"))</f>
        <v>涂层（玻璃）</v>
      </c>
      <c r="X31" s="104" t="str">
        <f>IF(B5="English","Coating (glass)",IF(B5="中国語","涂层（玻璃）","コーティング（ガラス）"))</f>
        <v>涂层（玻璃）</v>
      </c>
    </row>
    <row r="32" spans="1:27" s="53" customFormat="1" ht="12" hidden="1" customHeight="1">
      <c r="B32" s="55" t="str">
        <f>IF(B5="English","Resin Component",IF(B5="中国語","树脂成分","樹脂成分"))</f>
        <v>树脂成分</v>
      </c>
      <c r="C32" s="55"/>
      <c r="D32" s="55"/>
      <c r="E32" s="55"/>
      <c r="F32" s="55"/>
      <c r="G32" s="55"/>
      <c r="H32" s="55"/>
      <c r="I32" s="55"/>
      <c r="J32" s="55"/>
      <c r="K32" s="55"/>
      <c r="L32" s="55"/>
      <c r="M32" s="103" t="str">
        <f>IF(B5="English","Cast iron",IF(B5="中国語","铸铁","鋳鉄"))</f>
        <v>铸铁</v>
      </c>
      <c r="N32" s="103" t="str">
        <f>IF(B5="English","PE (Polyethylene)",IF(B5="中国語","聚乙烯(PE)","PE(ポリエチレン)"))</f>
        <v>聚乙烯(PE)</v>
      </c>
      <c r="O32" s="103" t="str">
        <f>IF(B5="English","PVC (Poly vinyl chloride)",IF(B5="中国語","聚氯乙烯 (PVC)","PVC(ポリ塩化ビニル)"))</f>
        <v>聚氯乙烯 (PVC)</v>
      </c>
      <c r="P32" s="104"/>
      <c r="Q32" s="103"/>
      <c r="R32" s="103" t="str">
        <f>IF(B5="English","Tin plating",IF(B5="中国語","镀锡","スズめっき"))</f>
        <v>镀锡</v>
      </c>
      <c r="S32" s="103" t="str">
        <f>IF(B5="English","BONDE Coating (Oxalic)",IF(B5="中国語","磷酸盐处理","シュウ酸ボンデ処理"))</f>
        <v>磷酸盐处理</v>
      </c>
      <c r="T32" s="103" t="str">
        <f>IF(B5="English","Thermal spraying of self-fluxing alloy SFWC",IF(B5="中国語","碳化钨自熔性合金喷镀","タングステンカーバイト自溶合金溶射"))</f>
        <v>碳化钨自熔性合金喷镀</v>
      </c>
      <c r="U32" s="104" t="str">
        <f>IF(B5="English","Vapor deposition film(Icd.Sputtering) of other noble or rare metals",IF(B5="中国語","金以外的贵金属、稀金属蒸镀膜（包含喷溅）","金以外の貴金属・希少金属蒸着（スパッタを含む）"))</f>
        <v>金以外的贵金属、稀金属蒸镀膜（包含喷溅）</v>
      </c>
      <c r="V32" s="104" t="str">
        <f>IF(B5="English","Vapor deposition film(Icd.Sputtering) of other noble or rare metals",IF(B5="中国語","金以外的贵金属、稀金属蒸镀膜（包含喷溅）","金以外の貴金属・希少金属蒸着（スパッタを含む）"))</f>
        <v>金以外的贵金属、稀金属蒸镀膜（包含喷溅）</v>
      </c>
      <c r="W32" s="104" t="str">
        <f>IF(B5="English","Coating (Other compounds)",IF(B5="中国語","涂层（其他复合材料）","コーティング（他の複合材）"))</f>
        <v>涂层（其他复合材料）</v>
      </c>
      <c r="X32" s="104" t="str">
        <f>IF(B5="English","Coating (Other compounds)",IF(B5="中国語","涂层（其他复合材料）","コーティング（他の複合材）"))</f>
        <v>涂层（其他复合材料）</v>
      </c>
    </row>
    <row r="33" spans="2:24" s="53" customFormat="1" ht="12" hidden="1" customHeight="1">
      <c r="B33" s="55" t="str">
        <f>IF(B5="English","Ceramics Component",IF(B5="中国語","陶瓷成分","セラミックス"))</f>
        <v>陶瓷成分</v>
      </c>
      <c r="C33" s="55"/>
      <c r="D33" s="55"/>
      <c r="E33" s="55"/>
      <c r="F33" s="55"/>
      <c r="G33" s="55"/>
      <c r="H33" s="55"/>
      <c r="I33" s="55"/>
      <c r="J33" s="55"/>
      <c r="K33" s="55"/>
      <c r="L33" s="55"/>
      <c r="M33" s="103" t="str">
        <f>IF(B5="English","Cast iron with lamellar graphite / tempered cast iron",IF(B5="中国語","片状石墨铸铁/可锻铸铁","片状黒鉛鋳鉄/可鍛鋳鉄"))</f>
        <v>片状石墨铸铁/可锻铸铁</v>
      </c>
      <c r="N33" s="103" t="str">
        <f>IF(B5="English","PP(Polypropylene)",IF(B5="中国語","聚丙烯 (PP)","PP(ポリプロピレン) "))</f>
        <v>聚丙烯 (PP)</v>
      </c>
      <c r="O33" s="103" t="str">
        <f>IF(B5="English","PC (Polycarbonate)",IF(B5="中国語","聚碳酸酯 (PC)","PC(ポリカーボネート)"))</f>
        <v>聚碳酸酯 (PC)</v>
      </c>
      <c r="P33" s="104"/>
      <c r="Q33" s="103"/>
      <c r="R33" s="103" t="str">
        <f>IF(B5="English","Chromium plating",IF(B5="中国語","镀铬","クロムめっき"))</f>
        <v>镀铬</v>
      </c>
      <c r="S33" s="103" t="str">
        <f>IF(B5="English","ZAY Coating",IF(B5="中国語","ZAY 涂层处理","ZAY コート処理"))</f>
        <v>ZAY 涂层处理</v>
      </c>
      <c r="T33" s="103" t="str">
        <f>IF(B5="English","Ceramic sprayed Coatings P-AO",IF(B5="中国語","氧化铝喷镀","酸化アルミニウム溶射"))</f>
        <v>氧化铝喷镀</v>
      </c>
      <c r="U33" s="104" t="str">
        <f>IF(B5="English","Other film coating of inorganic compounds",IF(B5="中国語","其他无机化合物的涂层","その他無機化合物のコーティング"))</f>
        <v>其他无机化合物的涂层</v>
      </c>
      <c r="V33" s="104" t="str">
        <f>IF(B5="English","Other film coating of inorganic compounds",IF(B5="中国語","其他无机化合物的涂层","その他無機化合物のコーティング"))</f>
        <v>其他无机化合物的涂层</v>
      </c>
      <c r="W33" s="104"/>
      <c r="X33" s="104"/>
    </row>
    <row r="34" spans="2:24" s="53" customFormat="1" ht="12" hidden="1" customHeight="1">
      <c r="B34" s="53" t="str">
        <f>IF(B5="English","Wiring Component",IF(B5="中国語","配线成分","配線成分"))</f>
        <v>配线成分</v>
      </c>
      <c r="C34" s="55"/>
      <c r="D34" s="55"/>
      <c r="E34" s="55"/>
      <c r="F34" s="55"/>
      <c r="G34" s="55"/>
      <c r="H34" s="55"/>
      <c r="I34" s="55"/>
      <c r="J34" s="55"/>
      <c r="K34" s="55"/>
      <c r="L34" s="55"/>
      <c r="M34" s="103" t="str">
        <f>IF(B5="English","Cast iron with nodular graphite / vermicular cast iron",IF(B5="中国語","球状石墨铸铁/蠕墨铸铁","球状黒鉛鋳鉄 /バーミキュラー鋳鉄"))</f>
        <v>球状石墨铸铁/蠕墨铸铁</v>
      </c>
      <c r="N34" s="103" t="str">
        <f>IF(B5="English","PS (Polystyrene)",IF(B5="聚苯乙烯 (PS)","部位名","PS(ポリスチレン)"))</f>
        <v>PS(ポリスチレン)</v>
      </c>
      <c r="O34" s="103" t="str">
        <f>IF(B5="English","POM (Polyacetal)",IF(B5="中国語","聚缩醛 (POM)","POM(ポリアセタール)"))</f>
        <v>聚缩醛 (POM)</v>
      </c>
      <c r="P34" s="104"/>
      <c r="Q34" s="103"/>
      <c r="R34" s="103" t="str">
        <f>IF(B5="English","Cobalt plating",IF(B5="中国語","镀钴","コバルトめっき"))</f>
        <v>镀钴</v>
      </c>
      <c r="S34" s="103" t="str">
        <f>IF(B5="English","Anodic Oxidation Coatings",IF(B5="中国語","氧化铝膜处理","アルマイト処理"))</f>
        <v>氧化铝膜处理</v>
      </c>
      <c r="T34" s="103" t="str">
        <f>IF(B5="English","Ceramic sprayed Coatings P-CrO",IF(B5="中国語","氧化铬喷镀","酸化クロム溶射"))</f>
        <v>氧化铬喷镀</v>
      </c>
      <c r="U34" s="104"/>
      <c r="V34" s="104"/>
      <c r="W34" s="104"/>
      <c r="X34" s="104"/>
    </row>
    <row r="35" spans="2:24" s="53" customFormat="1" ht="12" hidden="1" customHeight="1">
      <c r="B35" s="53" t="str">
        <f>IF(B5="English","Electrolytic Plating",IF(B5="中国語","电解电镀","電解メッキ"))</f>
        <v>电解电镀</v>
      </c>
      <c r="C35" s="55"/>
      <c r="D35" s="55"/>
      <c r="E35" s="55"/>
      <c r="F35" s="55"/>
      <c r="G35" s="55"/>
      <c r="H35" s="55"/>
      <c r="I35" s="55"/>
      <c r="J35" s="55"/>
      <c r="K35" s="55"/>
      <c r="L35" s="55"/>
      <c r="M35" s="103" t="str">
        <f>IF(B5="English","Cast aluminium alloys",IF(B5="中国語","铸造铝合金","鋳造アルミニウム合金"))</f>
        <v>铸造铝合金</v>
      </c>
      <c r="N35" s="103" t="str">
        <f>IF(B5="English","PVC (Poly vinyl chloride)",IF(B5="中国語","聚氯乙烯 (PVC)","PVC(ポリ塩化ビニル)"))</f>
        <v>聚氯乙烯 (PVC)</v>
      </c>
      <c r="O35" s="103" t="str">
        <f>IF(B5="English","A(B)S Poly(acrylonitrile (-butadiene)-styrene)",IF(B5="中国語","丙烯腈丁二烯苯乙烯树脂 (ABS)","ABS"))</f>
        <v>丙烯腈丁二烯苯乙烯树脂 (ABS)</v>
      </c>
      <c r="P35" s="104"/>
      <c r="Q35" s="103"/>
      <c r="R35" s="103" t="str">
        <f>IF(B5="English","Gold plating",IF(B5="中国語","镀金","金めっき"))</f>
        <v>镀金</v>
      </c>
      <c r="S35" s="103" t="str">
        <f>IF(B5="English","Combined coatings of anodic oxide and organic coatings",IF(B5="中国語","氧化铝膜涂层处理","アルマイト塗装処理"))</f>
        <v>氧化铝膜涂层处理</v>
      </c>
      <c r="T35" s="103" t="str">
        <f>IF(B5="English","Ceramic sprayed Coatings P-AO-MgO",IF(B5="中国語","尖晶石喷镀","スピネル溶射"))</f>
        <v>尖晶石喷镀</v>
      </c>
      <c r="U35" s="104"/>
      <c r="V35" s="104"/>
      <c r="W35" s="104"/>
      <c r="X35" s="104"/>
    </row>
    <row r="36" spans="2:24" s="53" customFormat="1" ht="12" hidden="1" customHeight="1">
      <c r="B36" s="53" t="str">
        <f>IF(B5="English","Non-Electrolytic plating ",IF(B5="中国語","无电解电镀","無電解メッキ"))</f>
        <v>无电解电镀</v>
      </c>
      <c r="C36" s="55"/>
      <c r="D36" s="55"/>
      <c r="E36" s="55"/>
      <c r="F36" s="55"/>
      <c r="G36" s="55"/>
      <c r="H36" s="55"/>
      <c r="I36" s="55"/>
      <c r="J36" s="55"/>
      <c r="K36" s="55"/>
      <c r="L36" s="55"/>
      <c r="M36" s="103" t="str">
        <f>IF(B5="English","Wrought aluminium alloys",IF(B5="中国語","锻造铝合金","鍛造アルミニウム合金"))</f>
        <v>锻造铝合金</v>
      </c>
      <c r="N36" s="103" t="str">
        <f>IF(B5="English","PC (Polycarbonate)",IF(B5="中国語","聚碳酸酯 (PC)","PC(ポリカーボネート)"))</f>
        <v>聚碳酸酯 (PC)</v>
      </c>
      <c r="O36" s="103" t="str">
        <f>IF(B5="English","PA (Polyamide)",IF(B5="中国語","聚酰胺 (PA)","PA(ポリアミド)"))</f>
        <v>聚酰胺 (PA)</v>
      </c>
      <c r="P36" s="104"/>
      <c r="Q36" s="103"/>
      <c r="R36" s="103" t="str">
        <f>IF(B5="English","Platinum plating",IF(B5="中国語","镀铂","白金めっき"))</f>
        <v>镀铂</v>
      </c>
      <c r="S36" s="103" t="str">
        <f>IF(B5="English","Corrosion protection of magnesium alloys",IF(B5="中国語","防腐蚀处理","マグネシウム防食処理"))</f>
        <v>防腐蚀处理</v>
      </c>
      <c r="T36" s="103" t="str">
        <f>IF(B5="English","Ceramic sprayed Coatings P-ZrO",IF(B5="中国語","氧化锆喷镀","酸化ジルコニウム溶射"))</f>
        <v>氧化锆喷镀</v>
      </c>
      <c r="U36" s="104"/>
      <c r="V36" s="104"/>
      <c r="W36" s="104"/>
      <c r="X36" s="104"/>
    </row>
    <row r="37" spans="2:24" s="53" customFormat="1" ht="12" hidden="1" customHeight="1">
      <c r="B37" s="55" t="str">
        <f>IF(B5="English","Dyes, Pigment",IF(B5="中国語","颜料、着色料","顔料、着色料"))</f>
        <v>颜料、着色料</v>
      </c>
      <c r="C37" s="55"/>
      <c r="D37" s="55"/>
      <c r="E37" s="55"/>
      <c r="F37" s="55"/>
      <c r="G37" s="55"/>
      <c r="H37" s="55"/>
      <c r="I37" s="55"/>
      <c r="J37" s="55"/>
      <c r="K37" s="55"/>
      <c r="L37" s="55"/>
      <c r="M37" s="103" t="str">
        <f>IF(B5="English","Cast magnesium alloys",IF(B5="中国語","铸造镁合金","鋳造マグネシウム合金"))</f>
        <v>铸造镁合金</v>
      </c>
      <c r="N37" s="103" t="str">
        <f>IF(B5="English","POM (Polyacetal)",IF(B5="中国語","聚缩醛 (POM)","POM(ポリアセタール)"))</f>
        <v>聚缩醛 (POM)</v>
      </c>
      <c r="O37" s="103" t="str">
        <f>IF(B5="English","PET (Poly ethylene terephthalate )",IF(B5="中国語","聚对苯二甲酸乙二醇酯 (PET)","PET(ポリエチレンテレフタレート)"))</f>
        <v>聚对苯二甲酸乙二醇酯 (PET)</v>
      </c>
      <c r="P37" s="104"/>
      <c r="Q37" s="103"/>
      <c r="R37" s="103" t="str">
        <f>IF(B5="English","Paradium plating",IF(B5="中国語","镀钯","パラジウムめっき"))</f>
        <v>镀钯</v>
      </c>
      <c r="S37" s="103" t="str">
        <f>IF(B5="English","Corrosion protection of aluminium alloys",IF(B5="中国語","铝防腐蚀处理","アルミニウム防食処理"))</f>
        <v>铝防腐蚀处理</v>
      </c>
      <c r="T37" s="103" t="str">
        <f>IF(B5="English","Cermet thermal spraying C-WC-Co",IF(B5="中国語","碳化钨-钴喷镀","炭化タングステン・コバルト溶射"))</f>
        <v>碳化钨-钴喷镀</v>
      </c>
      <c r="U37" s="104"/>
      <c r="V37" s="104"/>
      <c r="W37" s="104"/>
      <c r="X37" s="104"/>
    </row>
    <row r="38" spans="2:24" s="53" customFormat="1" ht="12" hidden="1" customHeight="1">
      <c r="B38" s="55" t="str">
        <f>IF(B5="English","Catalyst",IF(B5="中国語","催化","触媒"))</f>
        <v>催化</v>
      </c>
      <c r="C38" s="55"/>
      <c r="D38" s="55"/>
      <c r="E38" s="55"/>
      <c r="F38" s="55"/>
      <c r="G38" s="55"/>
      <c r="H38" s="55"/>
      <c r="I38" s="55"/>
      <c r="J38" s="55"/>
      <c r="K38" s="55"/>
      <c r="L38" s="55"/>
      <c r="M38" s="103" t="str">
        <f>IF(B5="English","Wrought magnesium alloys",IF(B5="中国語","锻造镁合金","鍛造マグネシウム合金"))</f>
        <v>锻造镁合金</v>
      </c>
      <c r="N38" s="103" t="str">
        <f>IF(B5="English","A(B)S Poly(acrylonitrile (-butadiene)-styrene)",IF(B5="中国語","丙烯腈丁二烯苯乙烯树脂 (ABS)","ABS"))</f>
        <v>丙烯腈丁二烯苯乙烯树脂 (ABS)</v>
      </c>
      <c r="O38" s="103" t="str">
        <f>IF(B5="English","PPE ((Modified) polyphenylene ether)",IF(B5="中国語","聚苯醚 (PPE)","PPE"))</f>
        <v>聚苯醚 (PPE)</v>
      </c>
      <c r="P38" s="104"/>
      <c r="Q38" s="103"/>
      <c r="R38" s="103" t="str">
        <f>IF(B5="English","Rhodium plating",IF(B5="中国語","镀铑","ロジウムめっき"))</f>
        <v>镀铑</v>
      </c>
      <c r="S38" s="103" t="str">
        <f>IF(B5="English","Black Oxide Coatings",IF(B5="中国語","发黑（四氧化三铁）处理","黒染め（四三酸化鉄）処理"))</f>
        <v>发黑（四氧化三铁）处理</v>
      </c>
      <c r="T38" s="103" t="str">
        <f>IF(B5="English","Cermet thermal spraying C-CrC-Ni-Cr",IF(B5="中国語","碳化铬-镍喷镀","炭化クロム・ニッケル溶射"))</f>
        <v>碳化铬-镍喷镀</v>
      </c>
      <c r="U38" s="104"/>
      <c r="V38" s="104"/>
      <c r="W38" s="104"/>
      <c r="X38" s="104"/>
    </row>
    <row r="39" spans="2:24" s="53" customFormat="1" ht="12" hidden="1" customHeight="1">
      <c r="B39" s="55" t="str">
        <f>IF(B5="English","Solvent",IF(B5="中国語","溶剂","溶媒"))</f>
        <v>溶剂</v>
      </c>
      <c r="C39" s="55"/>
      <c r="D39" s="55"/>
      <c r="E39" s="55"/>
      <c r="F39" s="55"/>
      <c r="G39" s="55"/>
      <c r="H39" s="55"/>
      <c r="I39" s="55"/>
      <c r="J39" s="55"/>
      <c r="K39" s="55"/>
      <c r="L39" s="55"/>
      <c r="M39" s="103" t="str">
        <f>IF(B5="English","Copper (e.g. copper amounts in cable harnesses)",IF(B5="中国語","纯铜 (例：线缆的铜)","銅(例,ケーブルハーネスの銅)"))</f>
        <v>纯铜 (例：线缆的铜)</v>
      </c>
      <c r="N39" s="103" t="str">
        <f>IF(B5="English","PA (Polyamide)",IF(B5="中国語","聚酰胺 (PA)","PA(ポリアミド)"))</f>
        <v>聚酰胺 (PA)</v>
      </c>
      <c r="O39" s="103" t="str">
        <f>IF(B5="English","Thermoplastic elastomer",IF(B5="中国語","热塑性弹性体","熱可塑性エラストマ"))</f>
        <v>热塑性弹性体</v>
      </c>
      <c r="P39" s="104"/>
      <c r="Q39" s="103"/>
      <c r="R39" s="103" t="str">
        <f>IF(B5="English","Silver plating",IF(B5="中国語","镀银","銀めっき"))</f>
        <v>镀银</v>
      </c>
      <c r="S39" s="103" t="str">
        <f>IF(B5="English","Phosphate Coatings",IF(B5="中国語","磷酸处理","リン酸処理"))</f>
        <v>磷酸处理</v>
      </c>
      <c r="T39" s="103"/>
      <c r="U39" s="104"/>
      <c r="V39" s="104"/>
      <c r="W39" s="104"/>
      <c r="X39" s="104"/>
    </row>
    <row r="40" spans="2:24" s="53" customFormat="1" ht="12" hidden="1" customHeight="1">
      <c r="B40" s="55" t="str">
        <f>IF(B5="English","Impurity",IF(B5="中国語","不纯物","不純物"))</f>
        <v>不纯物</v>
      </c>
      <c r="C40" s="55"/>
      <c r="D40" s="55"/>
      <c r="E40" s="55"/>
      <c r="F40" s="55"/>
      <c r="G40" s="55"/>
      <c r="H40" s="55"/>
      <c r="I40" s="55"/>
      <c r="J40" s="55"/>
      <c r="K40" s="55"/>
      <c r="L40" s="55"/>
      <c r="M40" s="103" t="str">
        <f>IF(B5="English","Copper alloys",IF(B5="中国語","铜合金","銅合金"))</f>
        <v>铜合金</v>
      </c>
      <c r="N40" s="103" t="str">
        <f>IF(B5="English","PET (Poly ethylene terephthalate )",IF(B5="中国語","聚对苯二甲酸乙二醇酯 (PET)","PET(ポリエチレンテレフタレート)"))</f>
        <v>聚对苯二甲酸乙二醇酯 (PET)</v>
      </c>
      <c r="O40" s="103" t="str">
        <f>IF(B5="English","Other thermoplastics",IF(B5="中国語","其他热塑性树脂","その他の熱可塑性樹脂"))</f>
        <v>其他热塑性树脂</v>
      </c>
      <c r="P40" s="104"/>
      <c r="Q40" s="103"/>
      <c r="R40" s="103" t="str">
        <f>IF(B5="English","Cadmium plating",IF(B5="中国語","镀镉","カドミウムめっき"))</f>
        <v>镀镉</v>
      </c>
      <c r="S40" s="103"/>
      <c r="T40" s="103"/>
      <c r="U40" s="104"/>
      <c r="V40" s="104"/>
      <c r="W40" s="104"/>
      <c r="X40" s="104"/>
    </row>
    <row r="41" spans="2:24" s="53" customFormat="1" ht="12" hidden="1" customHeight="1">
      <c r="B41" s="55" t="str">
        <f>IF(B5="English","Accelerator",IF(B5="中国語","催化剂","促進剤"))</f>
        <v>催化剂</v>
      </c>
      <c r="C41" s="55"/>
      <c r="D41" s="55"/>
      <c r="E41" s="55"/>
      <c r="F41" s="55"/>
      <c r="G41" s="55"/>
      <c r="H41" s="55"/>
      <c r="I41" s="55"/>
      <c r="J41" s="55"/>
      <c r="K41" s="55"/>
      <c r="L41" s="55"/>
      <c r="M41" s="103" t="str">
        <f>IF(B5="English","Zinc and Zinc alloys",IF(B5="中国語","锌合金","亜鉛合金"))</f>
        <v>锌合金</v>
      </c>
      <c r="N41" s="103" t="str">
        <f>IF(B5="English","PPE ((Modified) polyphenylene ether)",IF(B5="中国語","聚苯醚 (PPE)","PPE"))</f>
        <v>聚苯醚 (PPE)</v>
      </c>
      <c r="O41" s="103" t="str">
        <f>IF(B5="English","PUR (Polyurethane)",IF(B5="中国語","聚氨酯 (PUR)","ポリウレタン"))</f>
        <v>聚氨酯 (PUR)</v>
      </c>
      <c r="P41" s="104"/>
      <c r="Q41" s="103"/>
      <c r="R41" s="103"/>
      <c r="S41" s="103"/>
      <c r="T41" s="103"/>
      <c r="U41" s="104"/>
      <c r="V41" s="104"/>
      <c r="W41" s="104"/>
      <c r="X41" s="104"/>
    </row>
    <row r="42" spans="2:24" s="53" customFormat="1" ht="12" hidden="1" customHeight="1">
      <c r="B42" s="55" t="str">
        <f>IF(B5="English","Filler",IF(B5="中国語","填料","充填剤"))</f>
        <v>填料</v>
      </c>
      <c r="C42" s="55"/>
      <c r="D42" s="55"/>
      <c r="E42" s="55"/>
      <c r="F42" s="55"/>
      <c r="G42" s="55"/>
      <c r="H42" s="55"/>
      <c r="I42" s="55"/>
      <c r="J42" s="55"/>
      <c r="K42" s="55"/>
      <c r="L42" s="55"/>
      <c r="M42" s="103" t="str">
        <f>IF(B5="English","Nickel and Nickel alloys",IF(B5="中国語","镍合金","ニッケル合金"))</f>
        <v>镍合金</v>
      </c>
      <c r="N42" s="103" t="str">
        <f>IF(B5="English","Thermoplastic elastomer",IF(B5="中国語","热塑性弹性体","熱可塑性エラストマ"))</f>
        <v>热塑性弹性体</v>
      </c>
      <c r="O42" s="103" t="str">
        <f>IF(B5="English","UP (Unsaturated polyester)",IF(B5="中国語","不饱和聚酯 (UP)","不飽和ポリエステル"))</f>
        <v>不饱和聚酯 (UP)</v>
      </c>
      <c r="P42" s="104"/>
      <c r="Q42" s="103"/>
      <c r="R42" s="103"/>
      <c r="S42" s="103"/>
      <c r="T42" s="103"/>
      <c r="U42" s="104"/>
      <c r="V42" s="104"/>
      <c r="W42" s="104"/>
      <c r="X42" s="104"/>
    </row>
    <row r="43" spans="2:24" s="53" customFormat="1" ht="12" hidden="1" customHeight="1">
      <c r="B43" s="55" t="str">
        <f>IF(B5="English","MoldbLubricant",IF(B5="中国語","脱模剂","離型剤 "))</f>
        <v>脱模剂</v>
      </c>
      <c r="C43" s="55"/>
      <c r="D43" s="55"/>
      <c r="E43" s="55"/>
      <c r="F43" s="55"/>
      <c r="G43" s="55"/>
      <c r="H43" s="55"/>
      <c r="I43" s="55"/>
      <c r="J43" s="55"/>
      <c r="K43" s="55"/>
      <c r="L43" s="55"/>
      <c r="M43" s="103" t="str">
        <f>IF(B5="English","Lead and Lead alloys",IF(B5="中国語","铅,铅合金","鉛,鉛合金"))</f>
        <v>铅,铅合金</v>
      </c>
      <c r="N43" s="103" t="str">
        <f>IF(B5="English","Other thermoplastics",IF(B5="中国語","其他热塑性树脂","その他の熱可塑性樹脂"))</f>
        <v>其他热塑性树脂</v>
      </c>
      <c r="O43" s="103" t="str">
        <f>IF(B5="English","EP (Epoxy resin)",IF(B5="中国語","环氧树脂 (EP)","エポキシ樹脂"))</f>
        <v>环氧树脂 (EP)</v>
      </c>
      <c r="P43" s="104"/>
      <c r="Q43" s="103"/>
      <c r="R43" s="103"/>
      <c r="S43" s="103"/>
      <c r="T43" s="103"/>
      <c r="U43" s="104"/>
      <c r="V43" s="104"/>
      <c r="W43" s="104"/>
      <c r="X43" s="104"/>
    </row>
    <row r="44" spans="2:24" s="53" customFormat="1" ht="12" hidden="1" customHeight="1">
      <c r="B44" s="55" t="str">
        <f>IF(B5="English","Plasticizer",IF(B5="中国語","可塑剂","可塑剤"))</f>
        <v>可塑剂</v>
      </c>
      <c r="C44" s="55"/>
      <c r="D44" s="55"/>
      <c r="E44" s="55"/>
      <c r="F44" s="55"/>
      <c r="G44" s="55"/>
      <c r="H44" s="55"/>
      <c r="I44" s="55"/>
      <c r="J44" s="55"/>
      <c r="K44" s="55"/>
      <c r="L44" s="55"/>
      <c r="M44" s="103" t="str">
        <f>IF(B5="English","Sn-Pb solder",IF(B5="中国語","有铅焊锡","含鉛はんだ"))</f>
        <v>有铅焊锡</v>
      </c>
      <c r="N44" s="103" t="str">
        <f>IF(B5="English","PUR (Polyurethane)",IF(B5="中国語","聚氨酯 (PUR)","ポリウレタン"))</f>
        <v>聚氨酯 (PUR)</v>
      </c>
      <c r="O44" s="103" t="str">
        <f>IF(B5="English","Others (Cured resin or duromers)",IF(B5="中国語","其他固性树脂","その他の硬化性樹脂"))</f>
        <v>其他固性树脂</v>
      </c>
      <c r="P44" s="104"/>
      <c r="Q44" s="103"/>
      <c r="R44" s="103"/>
      <c r="S44" s="103"/>
      <c r="T44" s="103"/>
      <c r="U44" s="104"/>
      <c r="V44" s="104"/>
      <c r="W44" s="104"/>
      <c r="X44" s="104"/>
    </row>
    <row r="45" spans="2:24" s="53" customFormat="1" ht="12" hidden="1" customHeight="1">
      <c r="B45" s="55" t="str">
        <f>IF(B5="English","Reinforcement",IF(B5="中国語","强化剂","強化剤"))</f>
        <v>强化剂</v>
      </c>
      <c r="C45" s="55"/>
      <c r="D45" s="55"/>
      <c r="E45" s="55"/>
      <c r="F45" s="55"/>
      <c r="G45" s="55"/>
      <c r="H45" s="55"/>
      <c r="I45" s="55"/>
      <c r="J45" s="55"/>
      <c r="K45" s="55"/>
      <c r="L45" s="55"/>
      <c r="M45" s="103" t="str">
        <f>IF(B5="English","Lead-free solder",IF(B5="中国語","无铅焊锡","非鉛はんだ"))</f>
        <v>无铅焊锡</v>
      </c>
      <c r="N45" s="103" t="str">
        <f>IF(B5="English","UP (Unsaturated polyester)",IF(B5="中国語","不饱和聚酯 (UP)","不飽和ポリエステル"))</f>
        <v>不饱和聚酯 (UP)</v>
      </c>
      <c r="O45" s="103" t="str">
        <f>IF(B5="English","Others (Rubber/non-thermoplastic Elastomer)",IF(B5="中国語","其他橡胶（非热塑性）、弹性体","（熱可塑でない）エラストマー／エラストマー複合"))</f>
        <v>其他橡胶（非热塑性）、弹性体</v>
      </c>
      <c r="P45" s="104"/>
      <c r="Q45" s="103"/>
      <c r="R45" s="103"/>
      <c r="S45" s="103"/>
      <c r="T45" s="103"/>
      <c r="U45" s="104"/>
      <c r="V45" s="104"/>
      <c r="W45" s="104"/>
      <c r="X45" s="104"/>
    </row>
    <row r="46" spans="2:24" s="53" customFormat="1" ht="12" hidden="1" customHeight="1">
      <c r="B46" s="55" t="str">
        <f>IF(B5="English","Retarder",IF(B5="中国語","抑制剂","抑制剤"))</f>
        <v>抑制剂</v>
      </c>
      <c r="C46" s="55"/>
      <c r="D46" s="55"/>
      <c r="E46" s="55"/>
      <c r="F46" s="55"/>
      <c r="G46" s="55"/>
      <c r="H46" s="55"/>
      <c r="I46" s="55"/>
      <c r="J46" s="55"/>
      <c r="K46" s="55"/>
      <c r="L46" s="55"/>
      <c r="M46" s="103" t="str">
        <f>IF(B5="English","Gold",IF(B5="中国語","特殊金属 (金)","特殊金属(金）"))</f>
        <v>特殊金属 (金)</v>
      </c>
      <c r="N46" s="103" t="str">
        <f>IF(B5="English","EP (Epoxy resin)",IF(B5="中国語","环氧树脂 (EP)","エポキシ樹脂"))</f>
        <v>环氧树脂 (EP)</v>
      </c>
      <c r="O46" s="103" t="str">
        <f>IF(B5="English","Polymeric compounds",IF(B5="中国語","高分子复合材料","高分子複合材"))</f>
        <v>高分子复合材料</v>
      </c>
      <c r="P46" s="104"/>
      <c r="Q46" s="103"/>
      <c r="R46" s="103"/>
      <c r="S46" s="103"/>
      <c r="T46" s="103"/>
      <c r="U46" s="104"/>
      <c r="V46" s="104"/>
      <c r="W46" s="104"/>
      <c r="X46" s="104"/>
    </row>
    <row r="47" spans="2:24" s="53" customFormat="1" ht="12" hidden="1" customHeight="1">
      <c r="B47" s="55" t="str">
        <f>IF(B5="English","Stabiliser",IF(B5="中国語","稳定剂","安定剤"))</f>
        <v>稳定剂</v>
      </c>
      <c r="C47" s="55"/>
      <c r="D47" s="55"/>
      <c r="E47" s="55"/>
      <c r="F47" s="55"/>
      <c r="G47" s="55"/>
      <c r="H47" s="55"/>
      <c r="I47" s="55"/>
      <c r="J47" s="55"/>
      <c r="K47" s="55"/>
      <c r="L47" s="55"/>
      <c r="M47" s="103" t="str">
        <f>IF(B5="English","Platinum / rhodium",IF(B5="中国語","特殊金属 (铂、铑)","特殊金属（白金、ロジウム）"))</f>
        <v>特殊金属 (铂、铑)</v>
      </c>
      <c r="N47" s="103" t="str">
        <f>IF(B5="English","Others (Cured resin or duromers)",IF(B5="中国語","其他固性树脂","その他の硬化性樹脂"))</f>
        <v>其他固性树脂</v>
      </c>
      <c r="O47" s="104" t="str">
        <f>IF(B5="English","Lubricants,Brake fluid, etc",IF(B5="中国語","液体(润滑剂、制动液等)","潤滑剤、ブレーキフルード、他"))</f>
        <v>液体(润滑剂、制动液等)</v>
      </c>
      <c r="P47" s="104"/>
      <c r="Q47" s="103"/>
      <c r="R47" s="103"/>
      <c r="S47" s="103"/>
      <c r="T47" s="103"/>
      <c r="U47" s="104"/>
      <c r="V47" s="104"/>
      <c r="W47" s="104"/>
      <c r="X47" s="104"/>
    </row>
    <row r="48" spans="2:24" s="53" customFormat="1" ht="12" hidden="1" customHeight="1">
      <c r="B48" s="55" t="str">
        <f>IF(B5="English","Vulcanizing Agent",IF(B5="中国語","硫化剂","加硫剤"))</f>
        <v>硫化剂</v>
      </c>
      <c r="C48" s="55"/>
      <c r="D48" s="55"/>
      <c r="E48" s="55"/>
      <c r="F48" s="55"/>
      <c r="G48" s="55"/>
      <c r="H48" s="55"/>
      <c r="I48" s="55"/>
      <c r="J48" s="55"/>
      <c r="K48" s="55"/>
      <c r="L48" s="55"/>
      <c r="M48" s="103" t="str">
        <f>IF(B5="English","Other special metals",IF(B5="中国語","其他特殊金属(银、钯)","その他の特殊金属（銀、パラジウム等）"))</f>
        <v>其他特殊金属(银、钯)</v>
      </c>
      <c r="N48" s="103" t="str">
        <f>IF(B5="English","Others (Rubber/non-thermoplastic Elastomer)",IF(B5="中国語","其他橡胶（非热塑性）、弹性体","（熱可塑でない）エラストマー／エラストマー複合"))</f>
        <v>其他橡胶（非热塑性）、弹性体</v>
      </c>
      <c r="O48" s="104" t="str">
        <f>IF(B5="English","Others (Powder,etc)",IF(B5="中国語","其他材料（粉末等）","その他材料（粉体ほか）"))</f>
        <v>其他材料（粉末等）</v>
      </c>
      <c r="P48" s="104"/>
      <c r="Q48" s="103"/>
      <c r="R48" s="103"/>
      <c r="S48" s="103"/>
      <c r="T48" s="103"/>
      <c r="U48" s="104"/>
      <c r="V48" s="104"/>
      <c r="W48" s="104"/>
      <c r="X48" s="104"/>
    </row>
    <row r="49" spans="2:24" s="53" customFormat="1" ht="12" hidden="1" customHeight="1">
      <c r="B49" s="55" t="str">
        <f>IF(B5="English","Fixing Agent",IF(B5="中国語","黏着剂","固着剤"))</f>
        <v>黏着剂</v>
      </c>
      <c r="C49" s="55"/>
      <c r="D49" s="55"/>
      <c r="E49" s="55"/>
      <c r="F49" s="55"/>
      <c r="G49" s="55"/>
      <c r="H49" s="55"/>
      <c r="I49" s="55"/>
      <c r="J49" s="55"/>
      <c r="K49" s="55"/>
      <c r="L49" s="55"/>
      <c r="M49" s="103" t="str">
        <f>IF(B5="English","Titanium and titanium alloys",IF(B5="中国語","钛,钛合金","チタン,チタン合金"))</f>
        <v>钛,钛合金</v>
      </c>
      <c r="N49" s="103" t="str">
        <f>IF(B5="English","Polymeric compounds",IF(B5="中国語","高分子复合材料","高分子複合材"))</f>
        <v>高分子复合材料</v>
      </c>
      <c r="O49" s="103"/>
      <c r="P49" s="104"/>
      <c r="Q49" s="103"/>
      <c r="R49" s="103"/>
      <c r="S49" s="103"/>
      <c r="T49" s="103"/>
      <c r="U49" s="104"/>
      <c r="V49" s="104"/>
      <c r="W49" s="104"/>
      <c r="X49" s="104"/>
    </row>
    <row r="50" spans="2:24" s="53" customFormat="1" ht="12" hidden="1" customHeight="1">
      <c r="B50" s="55" t="str">
        <f>IF(B5="English","Hardening Agent",IF(B5="中国語","硬化剂","硬化剤"))</f>
        <v>硬化剂</v>
      </c>
      <c r="C50" s="55"/>
      <c r="D50" s="55"/>
      <c r="E50" s="55"/>
      <c r="F50" s="55"/>
      <c r="G50" s="55"/>
      <c r="H50" s="55"/>
      <c r="I50" s="55"/>
      <c r="J50" s="55"/>
      <c r="K50" s="55"/>
      <c r="L50" s="55"/>
      <c r="M50" s="103" t="str">
        <f>IF(B5="English","Other nonferrous metals",IF(B5="中国語","其他有色金属","その他の非鉄金属"))</f>
        <v>其他有色金属</v>
      </c>
      <c r="N50" s="103" t="str">
        <f>IF(B5="English","Plastics (in polymeric compounds)",IF(B5="中国語","高分子复合材中所含树脂","高分子複合材に含まれる樹脂"))</f>
        <v>高分子复合材中所含树脂</v>
      </c>
      <c r="O50" s="103"/>
      <c r="P50" s="104"/>
      <c r="Q50" s="103"/>
      <c r="R50" s="103"/>
      <c r="S50" s="103"/>
      <c r="T50" s="103"/>
      <c r="U50" s="104"/>
      <c r="V50" s="104"/>
      <c r="W50" s="104"/>
      <c r="X50" s="104"/>
    </row>
    <row r="51" spans="2:24" s="53" customFormat="1" ht="12" hidden="1" customHeight="1">
      <c r="B51" s="55" t="str">
        <f>IF(B5="English","Cross-Linking Agent",IF(B5="中国語","交联剂","架橋剤"))</f>
        <v>交联剂</v>
      </c>
      <c r="C51" s="55"/>
      <c r="D51" s="55"/>
      <c r="E51" s="55"/>
      <c r="F51" s="55"/>
      <c r="G51" s="55"/>
      <c r="H51" s="55"/>
      <c r="I51" s="55"/>
      <c r="J51" s="55"/>
      <c r="K51" s="55"/>
      <c r="L51" s="55"/>
      <c r="M51" s="103" t="str">
        <f>IF(B5="English","Ceramics",IF(B5="中国語","陶瓷","セラミック"))</f>
        <v>陶瓷</v>
      </c>
      <c r="N51" s="103" t="str">
        <f>IF(B5="English","Textiles (in polymeric compounds)",IF(B5="中国語","高分子复合材中所含纤维","高分子複合材に含まれる繊維"))</f>
        <v>高分子复合材中所含纤维</v>
      </c>
      <c r="O51" s="103"/>
      <c r="P51" s="104"/>
      <c r="Q51" s="103"/>
      <c r="R51" s="103"/>
      <c r="S51" s="103"/>
      <c r="T51" s="103"/>
      <c r="U51" s="104"/>
      <c r="V51" s="104"/>
      <c r="W51" s="104"/>
      <c r="X51" s="104"/>
    </row>
    <row r="52" spans="2:24" s="53" customFormat="1" ht="12" hidden="1" customHeight="1">
      <c r="B52" s="55" t="str">
        <f>IF(B5="English","Lubricant Agent",IF(B5="中国語","润滑剂","潤滑剤"))</f>
        <v>润滑剂</v>
      </c>
      <c r="C52" s="55"/>
      <c r="D52" s="55"/>
      <c r="E52" s="55"/>
      <c r="F52" s="55"/>
      <c r="G52" s="55"/>
      <c r="H52" s="55"/>
      <c r="I52" s="55"/>
      <c r="J52" s="55"/>
      <c r="K52" s="55"/>
      <c r="L52" s="55"/>
      <c r="M52" s="103" t="str">
        <f>IF(B5="English","Glass",IF(B5="中国語","玻璃","ガラス"))</f>
        <v>玻璃</v>
      </c>
      <c r="N52" s="103"/>
      <c r="O52" s="103"/>
      <c r="P52" s="103"/>
      <c r="Q52" s="103"/>
      <c r="R52" s="103"/>
      <c r="S52" s="103"/>
      <c r="T52" s="103"/>
      <c r="U52" s="104"/>
      <c r="V52" s="104"/>
      <c r="W52" s="104"/>
      <c r="X52" s="104"/>
    </row>
    <row r="53" spans="2:24" s="53" customFormat="1" ht="12" hidden="1" customHeight="1">
      <c r="B53" s="55" t="str">
        <f>IF(B5="English","Coupling Agent",IF(B5="中国語","耦合剂","結合剤"))</f>
        <v>耦合剂</v>
      </c>
      <c r="C53" s="55"/>
      <c r="D53" s="55"/>
      <c r="E53" s="55"/>
      <c r="F53" s="55"/>
      <c r="G53" s="55"/>
      <c r="H53" s="55"/>
      <c r="I53" s="55"/>
      <c r="J53" s="55"/>
      <c r="K53" s="55"/>
      <c r="L53" s="55"/>
      <c r="M53" s="103" t="str">
        <f>IF(B5="English","Other inorganic compounds",IF(B5="中国語","其它无机化合物","その他無機化合物"))</f>
        <v>其它无机化合物</v>
      </c>
      <c r="N53" s="103"/>
      <c r="O53" s="103"/>
      <c r="P53" s="103"/>
      <c r="Q53" s="103"/>
      <c r="R53" s="103"/>
      <c r="S53" s="103"/>
      <c r="T53" s="103"/>
      <c r="U53" s="104"/>
      <c r="V53" s="104"/>
      <c r="W53" s="104"/>
      <c r="X53" s="104"/>
    </row>
    <row r="54" spans="2:24" s="53" customFormat="1" ht="12" hidden="1" customHeight="1">
      <c r="B54" s="55" t="str">
        <f>IF(B5="English","Initiator",IF(B5="中国語","聚合引发剂","重合開始剤"))</f>
        <v>聚合引发剂</v>
      </c>
      <c r="C54" s="55"/>
      <c r="D54" s="55"/>
      <c r="E54" s="55"/>
      <c r="F54" s="55"/>
      <c r="G54" s="55"/>
      <c r="H54" s="55"/>
      <c r="I54" s="55"/>
      <c r="J54" s="55"/>
      <c r="K54" s="55"/>
      <c r="L54" s="55"/>
      <c r="M54" s="103" t="str">
        <f>IF(B5="English","filled Thermoplastics",IF(B5="中国語","含有填料带（填料）的热可塑树脂","フィラー(充填材)を含有する熱可塑性樹脂"))</f>
        <v>含有填料带（填料）的热可塑树脂</v>
      </c>
      <c r="N54" s="103"/>
      <c r="O54" s="103"/>
      <c r="P54" s="103"/>
      <c r="Q54" s="103"/>
      <c r="R54" s="103"/>
      <c r="S54" s="103"/>
      <c r="T54" s="103"/>
      <c r="U54" s="104"/>
      <c r="V54" s="104"/>
      <c r="W54" s="104"/>
      <c r="X54" s="104"/>
    </row>
    <row r="55" spans="2:24" s="53" customFormat="1" ht="12" hidden="1" customHeight="1">
      <c r="B55" s="55" t="str">
        <f>IF(B5="English","Antistatic Agent",IF(B5="中国語","防静电剂","帯電防止剤"))</f>
        <v>防静电剂</v>
      </c>
      <c r="C55" s="55"/>
      <c r="D55" s="55"/>
      <c r="E55" s="55"/>
      <c r="F55" s="55"/>
      <c r="G55" s="55"/>
      <c r="H55" s="55"/>
      <c r="I55" s="55"/>
      <c r="J55" s="55"/>
      <c r="K55" s="55"/>
      <c r="L55" s="55"/>
      <c r="M55" s="103" t="str">
        <f>IF(B5="English","PE (Polyethylene)",IF(B5="中国語","聚乙烯(PE)","PE(ポリエチレン)"))</f>
        <v>聚乙烯(PE)</v>
      </c>
      <c r="N55" s="103"/>
      <c r="O55" s="103"/>
      <c r="P55" s="103"/>
      <c r="Q55" s="103"/>
      <c r="R55" s="103"/>
      <c r="S55" s="103"/>
      <c r="T55" s="103"/>
      <c r="U55" s="104"/>
      <c r="V55" s="104"/>
      <c r="W55" s="104"/>
      <c r="X55" s="104"/>
    </row>
    <row r="56" spans="2:24" s="53" customFormat="1" ht="12" hidden="1" customHeight="1">
      <c r="B56" s="55" t="str">
        <f>IF(B5="English","Antioxidizing Agent",IF(B5="中国語","防氧化剂","酸化防止剤"))</f>
        <v>防氧化剂</v>
      </c>
      <c r="C56" s="55"/>
      <c r="D56" s="55"/>
      <c r="E56" s="55"/>
      <c r="F56" s="55"/>
      <c r="G56" s="55"/>
      <c r="H56" s="55"/>
      <c r="I56" s="55"/>
      <c r="J56" s="55"/>
      <c r="K56" s="55"/>
      <c r="L56" s="55"/>
      <c r="M56" s="103" t="str">
        <f>IF(B5="English","PP(Polypropylene)",IF(B5="中国語","聚丙烯 (PP)","PP(ポリプロピレン) "))</f>
        <v>聚丙烯 (PP)</v>
      </c>
      <c r="N56" s="103"/>
      <c r="O56" s="103"/>
      <c r="P56" s="103"/>
      <c r="Q56" s="103"/>
      <c r="R56" s="103"/>
      <c r="S56" s="103"/>
      <c r="T56" s="103"/>
      <c r="U56" s="104"/>
      <c r="V56" s="104"/>
      <c r="W56" s="104"/>
      <c r="X56" s="104"/>
    </row>
    <row r="57" spans="2:24" s="53" customFormat="1" ht="12" hidden="1" customHeight="1">
      <c r="B57" s="55" t="str">
        <f>IF(B5="English","Electric Characteristic Improvement",IF(B5="中国語","改善电气特性","電気特性向上"))</f>
        <v>改善电气特性</v>
      </c>
      <c r="C57" s="55"/>
      <c r="D57" s="55"/>
      <c r="E57" s="55"/>
      <c r="F57" s="55"/>
      <c r="G57" s="55"/>
      <c r="H57" s="55"/>
      <c r="I57" s="55"/>
      <c r="J57" s="55"/>
      <c r="K57" s="55"/>
      <c r="L57" s="55"/>
      <c r="M57" s="103" t="str">
        <f>IF(B5="English","PS (Polystyrene)",IF(B5="聚苯乙烯 (PS)","部位名","PS(ポリスチレン)"))</f>
        <v>PS(ポリスチレン)</v>
      </c>
      <c r="N57" s="103"/>
      <c r="O57" s="103"/>
      <c r="P57" s="103"/>
      <c r="Q57" s="103"/>
      <c r="R57" s="103"/>
      <c r="S57" s="103"/>
      <c r="T57" s="103"/>
      <c r="U57" s="104"/>
      <c r="V57" s="104"/>
      <c r="W57" s="104"/>
      <c r="X57" s="104"/>
    </row>
    <row r="58" spans="2:24" s="53" customFormat="1" ht="12" hidden="1" customHeight="1">
      <c r="B58" s="55" t="str">
        <f>IF(B5="English","Optical Characterist Improvement",IF(B5="中国語","改善光学特性","光学特性向上"))</f>
        <v>改善光学特性</v>
      </c>
      <c r="C58" s="55"/>
      <c r="D58" s="55"/>
      <c r="E58" s="55"/>
      <c r="F58" s="55"/>
      <c r="G58" s="55"/>
      <c r="H58" s="55"/>
      <c r="I58" s="55"/>
      <c r="J58" s="55"/>
      <c r="K58" s="55"/>
      <c r="L58" s="55"/>
      <c r="M58" s="103" t="str">
        <f>IF(B5="English","PVC (Poly vinyl chloride)",IF(B5="中国語","聚氯乙烯 (PVC)","PVC(ポリ塩化ビニル)"))</f>
        <v>聚氯乙烯 (PVC)</v>
      </c>
      <c r="N58" s="103"/>
      <c r="O58" s="103"/>
      <c r="P58" s="103"/>
      <c r="Q58" s="103"/>
      <c r="R58" s="103"/>
      <c r="S58" s="103"/>
      <c r="T58" s="103"/>
      <c r="U58" s="104"/>
      <c r="V58" s="104"/>
      <c r="W58" s="104"/>
      <c r="X58" s="104"/>
    </row>
    <row r="59" spans="2:24" s="53" customFormat="1" ht="12" hidden="1" customHeight="1">
      <c r="B59" s="55" t="str">
        <f>IF(B5="English","Mechanical Characteristic Improvement",IF(B5="中国語","盖上机械特性","機械特性向上"))</f>
        <v>盖上机械特性</v>
      </c>
      <c r="C59" s="55"/>
      <c r="D59" s="55"/>
      <c r="E59" s="55"/>
      <c r="F59" s="55"/>
      <c r="G59" s="55"/>
      <c r="H59" s="55"/>
      <c r="I59" s="55"/>
      <c r="J59" s="55"/>
      <c r="K59" s="55"/>
      <c r="L59" s="55"/>
      <c r="M59" s="103" t="str">
        <f>IF(B5="English","PC (Polycarbonate)",IF(B5="中国語","聚碳酸酯 (PC)","PC(ポリカーボネート)"))</f>
        <v>聚碳酸酯 (PC)</v>
      </c>
      <c r="N59" s="103"/>
      <c r="O59" s="103"/>
      <c r="P59" s="103"/>
      <c r="Q59" s="103"/>
      <c r="R59" s="103"/>
      <c r="S59" s="103"/>
      <c r="T59" s="103"/>
      <c r="U59" s="104"/>
      <c r="V59" s="104"/>
      <c r="W59" s="104"/>
      <c r="X59" s="104"/>
    </row>
    <row r="60" spans="2:24" s="53" customFormat="1" ht="12" hidden="1" customHeight="1">
      <c r="B60" s="55" t="str">
        <f>IF(B5="English","Flame Resistance Improvement",IF(B5="中国語","改善阻燃性","難燃性向上"))</f>
        <v>改善阻燃性</v>
      </c>
      <c r="C60" s="55"/>
      <c r="D60" s="55"/>
      <c r="E60" s="55"/>
      <c r="F60" s="55"/>
      <c r="G60" s="55"/>
      <c r="H60" s="55"/>
      <c r="I60" s="55"/>
      <c r="J60" s="55"/>
      <c r="K60" s="55"/>
      <c r="L60" s="55"/>
      <c r="M60" s="103" t="str">
        <f>IF(B5="English","POM (Polyacetal)",IF(B5="中国語","聚缩醛 (POM)","POM(ポリアセタール)"))</f>
        <v>聚缩醛 (POM)</v>
      </c>
      <c r="N60" s="103"/>
      <c r="O60" s="103"/>
      <c r="P60" s="103"/>
      <c r="Q60" s="103"/>
      <c r="R60" s="103"/>
      <c r="S60" s="103"/>
      <c r="T60" s="103"/>
      <c r="U60" s="104"/>
      <c r="V60" s="104"/>
      <c r="W60" s="104"/>
      <c r="X60" s="104"/>
    </row>
    <row r="61" spans="2:24" s="53" customFormat="1" ht="12" hidden="1" customHeight="1">
      <c r="B61" s="55" t="str">
        <f>IF(B5="English","Thermal Stability",IF(B5="中国語","改善热稳定性","熱安定性向上"))</f>
        <v>改善热稳定性</v>
      </c>
      <c r="C61" s="55"/>
      <c r="D61" s="55"/>
      <c r="E61" s="55"/>
      <c r="F61" s="55"/>
      <c r="G61" s="55"/>
      <c r="H61" s="55"/>
      <c r="I61" s="55"/>
      <c r="J61" s="55"/>
      <c r="K61" s="55"/>
      <c r="L61" s="55"/>
      <c r="M61" s="103" t="str">
        <f>IF(B5="English","A(B)S Poly(acrylonitrile (-butadiene)-styrene)",IF(B5="中国語","丙烯腈丁二烯苯乙烯树脂 (ABS)","ABS"))</f>
        <v>丙烯腈丁二烯苯乙烯树脂 (ABS)</v>
      </c>
      <c r="N61" s="103"/>
      <c r="O61" s="103"/>
      <c r="P61" s="103"/>
      <c r="Q61" s="103"/>
      <c r="R61" s="103"/>
      <c r="S61" s="103"/>
      <c r="T61" s="103"/>
      <c r="U61" s="104"/>
      <c r="V61" s="104"/>
      <c r="W61" s="104"/>
      <c r="X61" s="104"/>
    </row>
    <row r="62" spans="2:24" s="53" customFormat="1" ht="12" hidden="1" customHeight="1">
      <c r="B62" s="55" t="str">
        <f>IF(B5="English","Machining Improvement",IF(B5="中国語","改善加工性","加工性向上"))</f>
        <v>改善加工性</v>
      </c>
      <c r="C62" s="55"/>
      <c r="D62" s="55"/>
      <c r="E62" s="55"/>
      <c r="F62" s="55"/>
      <c r="G62" s="55"/>
      <c r="H62" s="55"/>
      <c r="I62" s="55"/>
      <c r="J62" s="55"/>
      <c r="K62" s="55"/>
      <c r="L62" s="55"/>
      <c r="M62" s="103" t="str">
        <f>IF(B5="English","PA (Polyamide)",IF(B5="中国語","聚酰胺 (PA)","PA(ポリアミド)"))</f>
        <v>聚酰胺 (PA)</v>
      </c>
      <c r="N62" s="103"/>
      <c r="O62" s="103"/>
      <c r="P62" s="103"/>
      <c r="Q62" s="103"/>
      <c r="R62" s="103"/>
      <c r="S62" s="103"/>
      <c r="T62" s="103"/>
      <c r="U62" s="104"/>
      <c r="V62" s="104"/>
      <c r="W62" s="104"/>
      <c r="X62" s="104"/>
    </row>
    <row r="63" spans="2:24" s="53" customFormat="1" ht="12" hidden="1" customHeight="1">
      <c r="B63" s="55" t="str">
        <f>IF(B5="English","Corrosion Resistance Improvement",IF(B5="中国語","改善防锈性","防錆性向上"))</f>
        <v>改善防锈性</v>
      </c>
      <c r="C63" s="55"/>
      <c r="D63" s="55"/>
      <c r="E63" s="55"/>
      <c r="F63" s="55"/>
      <c r="G63" s="55"/>
      <c r="H63" s="55"/>
      <c r="I63" s="55"/>
      <c r="J63" s="55"/>
      <c r="K63" s="55"/>
      <c r="L63" s="55"/>
      <c r="M63" s="103" t="str">
        <f>IF(B5="English","PET (Poly ethylene terephthalate )",IF(B5="中国語","聚对苯二甲酸乙二醇酯 (PET)","PET(ポリエチレンテレフタレート)"))</f>
        <v>聚对苯二甲酸乙二醇酯 (PET)</v>
      </c>
      <c r="N63" s="103"/>
      <c r="O63" s="103"/>
      <c r="P63" s="103"/>
      <c r="Q63" s="103"/>
      <c r="R63" s="103"/>
      <c r="S63" s="103"/>
      <c r="T63" s="103"/>
      <c r="U63" s="104"/>
      <c r="V63" s="104"/>
      <c r="W63" s="104"/>
      <c r="X63" s="104"/>
    </row>
    <row r="64" spans="2:24" s="53" customFormat="1" ht="12" hidden="1" customHeight="1">
      <c r="B64" s="55" t="str">
        <f>IF(B5="English","Moistureproof Improvement",IF(B5="中国語","改善防湿性","防湿性向上"))</f>
        <v>改善防湿性</v>
      </c>
      <c r="C64" s="55"/>
      <c r="D64" s="55"/>
      <c r="E64" s="55"/>
      <c r="F64" s="55"/>
      <c r="G64" s="55"/>
      <c r="H64" s="55"/>
      <c r="I64" s="55"/>
      <c r="J64" s="55"/>
      <c r="K64" s="55"/>
      <c r="L64" s="55"/>
      <c r="M64" s="103" t="str">
        <f>IF(B5="English","PPE ((Modified) polyphenylene ether)",IF(B5="中国語","聚苯醚 (PPE)","PPE"))</f>
        <v>聚苯醚 (PPE)</v>
      </c>
      <c r="N64" s="103"/>
      <c r="O64" s="103"/>
      <c r="P64" s="103"/>
      <c r="Q64" s="103"/>
      <c r="R64" s="103"/>
      <c r="S64" s="103"/>
      <c r="T64" s="103"/>
      <c r="U64" s="104"/>
      <c r="V64" s="104"/>
      <c r="W64" s="104"/>
      <c r="X64" s="104"/>
    </row>
    <row r="65" spans="1:24" s="53" customFormat="1" ht="12" hidden="1" customHeight="1">
      <c r="B65" s="55" t="str">
        <f>IF(B5="English","Insulation Improvement",IF(B5="中国語","改善绝缘性","絶縁性向上"))</f>
        <v>改善绝缘性</v>
      </c>
      <c r="C65" s="55"/>
      <c r="D65" s="55"/>
      <c r="E65" s="55"/>
      <c r="F65" s="55"/>
      <c r="G65" s="55"/>
      <c r="H65" s="55"/>
      <c r="I65" s="55"/>
      <c r="J65" s="55"/>
      <c r="K65" s="55"/>
      <c r="L65" s="55"/>
      <c r="M65" s="103" t="str">
        <f>IF(B5="English","Thermoplastic elastomer",IF(B5="中国語","热塑性弹性体","熱可塑性エラストマ"))</f>
        <v>热塑性弹性体</v>
      </c>
      <c r="N65" s="103"/>
      <c r="O65" s="103"/>
      <c r="P65" s="103"/>
      <c r="Q65" s="103"/>
      <c r="R65" s="103"/>
      <c r="S65" s="103"/>
      <c r="T65" s="103"/>
      <c r="U65" s="104"/>
      <c r="V65" s="104"/>
      <c r="W65" s="104"/>
      <c r="X65" s="104"/>
    </row>
    <row r="66" spans="1:24" s="53" customFormat="1" ht="12" hidden="1" customHeight="1">
      <c r="B66" s="55" t="str">
        <f>IF(B5="English","Conduction Improvement",IF(B5="中国語","改善导电性","導電性向上"))</f>
        <v>改善导电性</v>
      </c>
      <c r="C66" s="55"/>
      <c r="D66" s="55"/>
      <c r="E66" s="55"/>
      <c r="F66" s="55"/>
      <c r="G66" s="55"/>
      <c r="H66" s="55"/>
      <c r="I66" s="55"/>
      <c r="J66" s="55"/>
      <c r="K66" s="55"/>
      <c r="L66" s="55"/>
      <c r="M66" s="103" t="str">
        <f>IF(B5="English","Other thermoplastics",IF(B5="中国語","其他热塑性树脂","その他の熱可塑性樹脂"))</f>
        <v>其他热塑性树脂</v>
      </c>
      <c r="N66" s="103"/>
      <c r="O66" s="103"/>
      <c r="P66" s="103"/>
      <c r="Q66" s="103"/>
      <c r="R66" s="103"/>
      <c r="S66" s="103"/>
      <c r="T66" s="103"/>
      <c r="U66" s="104"/>
      <c r="V66" s="104"/>
      <c r="W66" s="104"/>
      <c r="X66" s="104"/>
    </row>
    <row r="67" spans="1:24" s="53" customFormat="1" ht="12" hidden="1" customHeight="1">
      <c r="B67" s="55" t="str">
        <f>IF(B5="English","Decay Resistance Improvement",IF(B5="中国語","改善耐用性","耐久性向上"))</f>
        <v>改善耐用性</v>
      </c>
      <c r="C67" s="55"/>
      <c r="D67" s="55"/>
      <c r="E67" s="55"/>
      <c r="F67" s="55"/>
      <c r="G67" s="55"/>
      <c r="H67" s="55"/>
      <c r="I67" s="55"/>
      <c r="J67" s="55"/>
      <c r="K67" s="55"/>
      <c r="L67" s="55"/>
      <c r="M67" s="103" t="str">
        <f>IF(B5="English","PUR (Polyurethane)",IF(B5="中国語","聚氨酯 (PUR)","ポリウレタン"))</f>
        <v>聚氨酯 (PUR)</v>
      </c>
      <c r="N67" s="103"/>
      <c r="O67" s="103"/>
      <c r="P67" s="103"/>
      <c r="Q67" s="103"/>
      <c r="R67" s="103"/>
      <c r="S67" s="103"/>
      <c r="T67" s="103"/>
      <c r="U67" s="104"/>
      <c r="V67" s="104"/>
      <c r="W67" s="104"/>
      <c r="X67" s="104"/>
    </row>
    <row r="68" spans="1:24" s="53" customFormat="1" ht="12" hidden="1" customHeight="1">
      <c r="B68" s="55" t="str">
        <f>IF(B5="English","Oil Resistance Improvement",IF(B5="中国語","改善耐油性","耐油性向上"))</f>
        <v>改善耐油性</v>
      </c>
      <c r="C68" s="55"/>
      <c r="D68" s="55"/>
      <c r="E68" s="55"/>
      <c r="F68" s="55"/>
      <c r="G68" s="55"/>
      <c r="H68" s="55"/>
      <c r="I68" s="55"/>
      <c r="J68" s="55"/>
      <c r="K68" s="55"/>
      <c r="L68" s="55"/>
      <c r="M68" s="103" t="str">
        <f>IF(B5="English","UP (Unsaturated polyester)",IF(B5="中国語","不饱和聚酯 (UP)","不飽和ポリエステル"))</f>
        <v>不饱和聚酯 (UP)</v>
      </c>
      <c r="N68" s="103"/>
      <c r="O68" s="103"/>
      <c r="P68" s="103"/>
      <c r="Q68" s="103"/>
      <c r="R68" s="103"/>
      <c r="S68" s="103"/>
      <c r="T68" s="103"/>
      <c r="U68" s="104"/>
      <c r="V68" s="104"/>
      <c r="W68" s="104"/>
      <c r="X68" s="104"/>
    </row>
    <row r="69" spans="1:24" s="53" customFormat="1" ht="12" hidden="1" customHeight="1">
      <c r="B69" s="55" t="str">
        <f>IF(B5="English","Burning Resistance Improvement",IF(B5="中国語","改善耐热性","耐熱性向上"))</f>
        <v>改善耐热性</v>
      </c>
      <c r="C69" s="55"/>
      <c r="D69" s="55"/>
      <c r="E69" s="55"/>
      <c r="F69" s="55"/>
      <c r="G69" s="55"/>
      <c r="H69" s="55"/>
      <c r="I69" s="55"/>
      <c r="J69" s="55"/>
      <c r="K69" s="55"/>
      <c r="L69" s="55"/>
      <c r="M69" s="103" t="str">
        <f>IF(B5="English","EP (Epoxy resin)",IF(B5="中国語","环氧树脂 (EP)","エポキシ樹脂"))</f>
        <v>环氧树脂 (EP)</v>
      </c>
      <c r="N69" s="103"/>
      <c r="O69" s="103"/>
      <c r="P69" s="103"/>
      <c r="Q69" s="103"/>
      <c r="R69" s="103"/>
      <c r="S69" s="103"/>
      <c r="T69" s="103"/>
      <c r="U69" s="104"/>
      <c r="V69" s="104"/>
      <c r="W69" s="104"/>
      <c r="X69" s="104"/>
    </row>
    <row r="70" spans="1:24" s="53" customFormat="1" ht="12" hidden="1" customHeight="1">
      <c r="B70" s="55" t="str">
        <f>IF(B5="English","Waterproof Improvement",IF(B5="中国語","改善耐水性","耐水性向上"))</f>
        <v>改善耐水性</v>
      </c>
      <c r="C70" s="55"/>
      <c r="D70" s="55"/>
      <c r="E70" s="55"/>
      <c r="F70" s="55"/>
      <c r="G70" s="55"/>
      <c r="H70" s="55"/>
      <c r="I70" s="55"/>
      <c r="J70" s="55"/>
      <c r="K70" s="55"/>
      <c r="L70" s="55"/>
      <c r="M70" s="103" t="str">
        <f>IF(B5="English","Others (Cured resin or duromers)",IF(B5="中国語","其他固性树脂","その他の硬化性樹脂"))</f>
        <v>其他固性树脂</v>
      </c>
      <c r="N70" s="103"/>
      <c r="O70" s="103"/>
      <c r="P70" s="103"/>
      <c r="Q70" s="103"/>
      <c r="R70" s="103"/>
      <c r="S70" s="103"/>
      <c r="T70" s="103"/>
      <c r="U70" s="104"/>
      <c r="V70" s="104"/>
      <c r="W70" s="104"/>
      <c r="X70" s="104"/>
    </row>
    <row r="71" spans="1:24" s="53" customFormat="1" ht="12" hidden="1" customHeight="1">
      <c r="B71" s="55" t="str">
        <f>IF(B5="English","Corporate Secret",IF(B5="中国語","企业秘密","企業秘密"))</f>
        <v>企业秘密</v>
      </c>
      <c r="C71" s="55"/>
      <c r="D71" s="55"/>
      <c r="E71" s="55"/>
      <c r="F71" s="55"/>
      <c r="G71" s="55"/>
      <c r="H71" s="55"/>
      <c r="I71" s="55"/>
      <c r="J71" s="55"/>
      <c r="K71" s="55"/>
      <c r="L71" s="55"/>
      <c r="M71" s="103" t="str">
        <f>IF(B5="English","Others (Rubber/non-thermoplastic Elastomer)",IF(B5="中国語","其他橡胶（非热塑性）、弹性体","（熱可塑でない）エラストマー／エラストマー複合"))</f>
        <v>其他橡胶（非热塑性）、弹性体</v>
      </c>
      <c r="N71" s="103"/>
      <c r="O71" s="103"/>
      <c r="P71" s="103"/>
      <c r="Q71" s="103"/>
      <c r="R71" s="103"/>
      <c r="S71" s="103"/>
      <c r="T71" s="103"/>
      <c r="U71" s="104"/>
      <c r="V71" s="104"/>
      <c r="W71" s="104"/>
      <c r="X71" s="104"/>
    </row>
    <row r="72" spans="1:24" s="53" customFormat="1" ht="12" hidden="1" customHeight="1">
      <c r="B72" s="55" t="str">
        <f>IF(B5="English","Others",IF(B5="中国語","不符合","該当無し"))</f>
        <v>不符合</v>
      </c>
      <c r="C72" s="55"/>
      <c r="D72" s="55"/>
      <c r="E72" s="55"/>
      <c r="F72" s="55"/>
      <c r="G72" s="55"/>
      <c r="H72" s="55"/>
      <c r="I72" s="55"/>
      <c r="J72" s="55"/>
      <c r="K72" s="55"/>
      <c r="L72" s="55"/>
      <c r="M72" s="103" t="str">
        <f>IF(B5="English","Polymeric compounds",IF(B5="中国語","高分子复合材料","高分子複合材"))</f>
        <v>高分子复合材料</v>
      </c>
      <c r="N72" s="103"/>
      <c r="O72" s="103"/>
      <c r="P72" s="103"/>
      <c r="Q72" s="103"/>
      <c r="R72" s="103"/>
      <c r="S72" s="103"/>
      <c r="T72" s="103"/>
      <c r="U72" s="104"/>
      <c r="V72" s="104"/>
      <c r="W72" s="104"/>
      <c r="X72" s="104"/>
    </row>
    <row r="73" spans="1:24" s="53" customFormat="1" ht="12" hidden="1" customHeight="1">
      <c r="B73" s="55"/>
      <c r="C73" s="55"/>
      <c r="D73" s="55"/>
      <c r="E73" s="55"/>
      <c r="F73" s="55"/>
      <c r="G73" s="55"/>
      <c r="H73" s="55"/>
      <c r="I73" s="55"/>
      <c r="J73" s="55"/>
      <c r="K73" s="55"/>
      <c r="L73" s="55"/>
      <c r="M73" s="103" t="str">
        <f>IF(B5="English","Plastics (in polymeric compounds)",IF(B5="中国語","高分子复合材中所含树脂","高分子複合材に含まれる樹脂"))</f>
        <v>高分子复合材中所含树脂</v>
      </c>
      <c r="N73" s="103"/>
      <c r="O73" s="103"/>
      <c r="P73" s="103"/>
      <c r="Q73" s="103"/>
      <c r="R73" s="103"/>
      <c r="S73" s="103"/>
      <c r="T73" s="103"/>
      <c r="U73" s="104"/>
      <c r="V73" s="104"/>
      <c r="W73" s="104"/>
      <c r="X73" s="104"/>
    </row>
    <row r="74" spans="1:24" s="53" customFormat="1" ht="12" hidden="1" customHeight="1">
      <c r="B74" s="55"/>
      <c r="C74" s="55"/>
      <c r="D74" s="55"/>
      <c r="E74" s="55"/>
      <c r="F74" s="55"/>
      <c r="G74" s="55"/>
      <c r="H74" s="55"/>
      <c r="I74" s="55"/>
      <c r="J74" s="55"/>
      <c r="K74" s="55"/>
      <c r="L74" s="55"/>
      <c r="M74" s="103" t="str">
        <f>IF(B5="English","Textiles (in polymeric compounds)",IF(B5="中国語","高分子复合材中所含纤维","高分子複合材に含まれる繊維"))</f>
        <v>高分子复合材中所含纤维</v>
      </c>
      <c r="N74" s="103"/>
      <c r="O74" s="103"/>
      <c r="P74" s="103"/>
      <c r="Q74" s="103"/>
      <c r="R74" s="103"/>
      <c r="S74" s="103"/>
      <c r="T74" s="103"/>
      <c r="U74" s="104"/>
      <c r="V74" s="104"/>
      <c r="W74" s="104"/>
      <c r="X74" s="104"/>
    </row>
    <row r="75" spans="1:24" s="53" customFormat="1" ht="12" hidden="1" customHeight="1">
      <c r="B75" s="55"/>
      <c r="C75" s="55"/>
      <c r="D75" s="55"/>
      <c r="E75" s="55"/>
      <c r="F75" s="55"/>
      <c r="G75" s="55"/>
      <c r="H75" s="55"/>
      <c r="I75" s="55"/>
      <c r="J75" s="55"/>
      <c r="K75" s="55"/>
      <c r="L75" s="55"/>
      <c r="M75" s="103" t="str">
        <f>IF(B5="English","Wood",IF(B5="中国語","木材","木材"))</f>
        <v>木材</v>
      </c>
      <c r="N75" s="103"/>
      <c r="O75" s="103"/>
      <c r="P75" s="103"/>
      <c r="Q75" s="103"/>
      <c r="R75" s="103"/>
      <c r="S75" s="103"/>
      <c r="T75" s="103"/>
      <c r="U75" s="104"/>
      <c r="V75" s="104"/>
      <c r="W75" s="104"/>
      <c r="X75" s="104"/>
    </row>
    <row r="76" spans="1:24" s="53" customFormat="1" ht="12" hidden="1" customHeight="1">
      <c r="B76" s="55"/>
      <c r="C76" s="55"/>
      <c r="D76" s="55"/>
      <c r="E76" s="55"/>
      <c r="F76" s="55"/>
      <c r="G76" s="55"/>
      <c r="H76" s="55"/>
      <c r="I76" s="55"/>
      <c r="J76" s="55"/>
      <c r="K76" s="55"/>
      <c r="L76" s="55"/>
      <c r="M76" s="103" t="str">
        <f>IF(B5="English","Paper",IF(B5="纸","部位名","紙"))</f>
        <v>紙</v>
      </c>
      <c r="N76" s="103"/>
      <c r="O76" s="103"/>
      <c r="P76" s="103"/>
      <c r="Q76" s="103"/>
      <c r="R76" s="103"/>
      <c r="S76" s="103"/>
      <c r="T76" s="103"/>
      <c r="U76" s="104"/>
      <c r="V76" s="104"/>
      <c r="W76" s="104"/>
      <c r="X76" s="104"/>
    </row>
    <row r="77" spans="1:24" s="53" customFormat="1" ht="12" hidden="1" customHeight="1">
      <c r="B77" s="55"/>
      <c r="C77" s="55"/>
      <c r="D77" s="55"/>
      <c r="E77" s="55"/>
      <c r="F77" s="55"/>
      <c r="G77" s="55"/>
      <c r="H77" s="55"/>
      <c r="I77" s="55"/>
      <c r="J77" s="55"/>
      <c r="K77" s="55"/>
      <c r="L77" s="55"/>
      <c r="M77" s="103" t="str">
        <f>IF(B5="English","Fiber",IF(B5="中国語","纤维","繊維"))</f>
        <v>纤维</v>
      </c>
      <c r="N77" s="103"/>
      <c r="O77" s="103"/>
      <c r="P77" s="103"/>
      <c r="Q77" s="103"/>
      <c r="R77" s="103"/>
      <c r="S77" s="103"/>
      <c r="T77" s="103"/>
      <c r="U77" s="104"/>
      <c r="V77" s="104"/>
      <c r="W77" s="104"/>
      <c r="X77" s="104"/>
    </row>
    <row r="78" spans="1:24" s="53" customFormat="1" ht="12" hidden="1" customHeight="1">
      <c r="B78" s="55"/>
      <c r="C78" s="55"/>
      <c r="D78" s="55"/>
      <c r="E78" s="55"/>
      <c r="F78" s="55"/>
      <c r="G78" s="55"/>
      <c r="H78" s="55"/>
      <c r="I78" s="55"/>
      <c r="J78" s="55"/>
      <c r="K78" s="55"/>
      <c r="L78" s="55"/>
      <c r="M78" s="103" t="str">
        <f>IF(B5="English","Leather",IF(B5="中国語","皮革","皮革"))</f>
        <v>皮革</v>
      </c>
      <c r="N78" s="103"/>
      <c r="O78" s="103"/>
      <c r="P78" s="103"/>
      <c r="Q78" s="103"/>
      <c r="R78" s="103"/>
      <c r="S78" s="103"/>
      <c r="T78" s="103"/>
      <c r="U78" s="104"/>
      <c r="V78" s="104"/>
      <c r="W78" s="104"/>
      <c r="X78" s="104"/>
    </row>
    <row r="79" spans="1:24" ht="10.199999999999999" customHeight="1">
      <c r="A79" s="47"/>
      <c r="B79" s="56"/>
      <c r="C79" s="56"/>
      <c r="D79" s="47"/>
      <c r="E79" s="47"/>
      <c r="F79" s="47"/>
      <c r="G79" s="47"/>
      <c r="H79" s="51"/>
      <c r="I79" s="52"/>
      <c r="J79" s="52"/>
      <c r="K79" s="52"/>
      <c r="L79" s="52"/>
    </row>
    <row r="80" spans="1:24" s="57" customFormat="1" ht="25.5" customHeight="1">
      <c r="A80" s="348" t="s">
        <v>3</v>
      </c>
      <c r="B80" s="350" t="str">
        <f>IF(B5="English","Component Name",IF(B5="中国語","部品名","部品名"))</f>
        <v>部品名</v>
      </c>
      <c r="C80" s="101" t="str">
        <f>IF(B5="English","Quantity",IF(B5="中国語","数量","数"))</f>
        <v>数量</v>
      </c>
      <c r="D80" s="340" t="str">
        <f>IF(B5="English","Region Name",IF(B5="中国語","部位名","部位名"))</f>
        <v>部位名</v>
      </c>
      <c r="E80" s="352" t="str">
        <f>IF(B5="English","Material Name",IF(B5="中国語","材料名","材料名"))</f>
        <v>材料名</v>
      </c>
      <c r="F80" s="353"/>
      <c r="G80" s="354"/>
      <c r="H80" s="340" t="str">
        <f>IF(B5="English","Supplier of raw materia",IF(B5="中国語","材料制造商","材料メーカー"))</f>
        <v>材料制造商</v>
      </c>
      <c r="I80" s="340" t="str">
        <f>IF(B5="English","Model(Type)",IF(C5="中国語"," 型式（Type）","型式（Type）"))</f>
        <v>型式（Type）</v>
      </c>
      <c r="J80" s="342" t="str">
        <f>IF(B5="English","Region Mass",IF(B5="中国語","部位的
质量","部位質量"))</f>
        <v>部位的
质量</v>
      </c>
      <c r="K80" s="343"/>
      <c r="L80" s="344"/>
      <c r="M80" s="100" t="str">
        <f>IF(B5="English","Total Region Mass",IF(B5="中国語","総部位的
质量","総部位
質量"))</f>
        <v>総部位的
质量</v>
      </c>
      <c r="N80" s="345" t="str">
        <f>IF(B5="English","Substance Name",IF(B5="中国語","物质名称","物質名"))</f>
        <v>物质名称</v>
      </c>
      <c r="O80" s="345" t="str">
        <f>IF(B5="English","CAS/No.",IF(B5="中国語","CAS番号","CAS番号"))</f>
        <v>CAS番号</v>
      </c>
      <c r="P80" s="345" t="str">
        <f>IF(B5="English","Concentration(wt%)",IF(B5="中国語","含有率(wt%)","含有率(wt%)"))</f>
        <v>含有率(wt%)</v>
      </c>
      <c r="Q80" s="115" t="str">
        <f>IF(B5="English","Substance Mass",IF(B5="中国語","物质的
质量","物質質量"))</f>
        <v>物质的
质量</v>
      </c>
      <c r="R80" s="345" t="str">
        <f>IF(B5="English","Cause of Use",IF(B5="中国語","使用目的
・用途","使用目的
・用途"))</f>
        <v>使用目的
・用途</v>
      </c>
      <c r="S80" s="334" t="str">
        <f>IF(B5="English","RoHS directive exemption No.",IF(B5="中国語","RoHS指令
适用除外No.","RoHS指令
適用除外.No."))</f>
        <v>RoHS指令
适用除外No.</v>
      </c>
      <c r="T80" s="336" t="str">
        <f>IF(B5="English","Intentional or Impurity,
Note",IF(B5="中国語","有意/杂质, 
备注","意図的/不純物, 
備考"))</f>
        <v>有意/杂质, 
备注</v>
      </c>
    </row>
    <row r="81" spans="1:23" s="57" customFormat="1" ht="18.75" customHeight="1">
      <c r="A81" s="349"/>
      <c r="B81" s="341"/>
      <c r="C81" s="107" t="str">
        <f>G24</f>
        <v>pcs</v>
      </c>
      <c r="D81" s="351"/>
      <c r="E81" s="355"/>
      <c r="F81" s="356"/>
      <c r="G81" s="357"/>
      <c r="H81" s="341"/>
      <c r="I81" s="341"/>
      <c r="J81" s="58" t="str">
        <f>E24</f>
        <v>g</v>
      </c>
      <c r="K81" s="59" t="s">
        <v>20</v>
      </c>
      <c r="L81" s="60" t="str">
        <f>G24</f>
        <v>pcs</v>
      </c>
      <c r="M81" s="61" t="str">
        <f>E24</f>
        <v>g</v>
      </c>
      <c r="N81" s="341"/>
      <c r="O81" s="341"/>
      <c r="P81" s="341"/>
      <c r="Q81" s="62" t="str">
        <f>E24</f>
        <v>g</v>
      </c>
      <c r="R81" s="341"/>
      <c r="S81" s="335"/>
      <c r="T81" s="337"/>
    </row>
    <row r="82" spans="1:23" s="57" customFormat="1">
      <c r="A82" s="63">
        <v>1</v>
      </c>
      <c r="B82" s="112" t="s">
        <v>50</v>
      </c>
      <c r="C82" s="114">
        <v>2</v>
      </c>
      <c r="D82" s="113" t="s">
        <v>22</v>
      </c>
      <c r="E82" s="328" t="s">
        <v>29</v>
      </c>
      <c r="F82" s="329"/>
      <c r="G82" s="330"/>
      <c r="H82" s="64"/>
      <c r="I82" s="64"/>
      <c r="J82" s="338">
        <v>1</v>
      </c>
      <c r="K82" s="339"/>
      <c r="L82" s="333"/>
      <c r="M82" s="65">
        <f t="shared" ref="M82:M101" si="0">IF(J82="","",V82*J82)</f>
        <v>2</v>
      </c>
      <c r="N82" s="66" t="s">
        <v>51</v>
      </c>
      <c r="O82" s="105"/>
      <c r="P82" s="67">
        <v>70</v>
      </c>
      <c r="Q82" s="68">
        <f t="shared" ref="Q82:Q101" si="1">IF(P82="","",W82*P82/100)</f>
        <v>1.4</v>
      </c>
      <c r="R82" s="69" t="s">
        <v>35</v>
      </c>
      <c r="S82" s="70"/>
      <c r="T82" s="71"/>
      <c r="V82" s="72">
        <f>C82</f>
        <v>2</v>
      </c>
      <c r="W82" s="72">
        <f>M82</f>
        <v>2</v>
      </c>
    </row>
    <row r="83" spans="1:23" s="57" customFormat="1">
      <c r="A83" s="63">
        <v>2</v>
      </c>
      <c r="B83" s="105"/>
      <c r="C83" s="114"/>
      <c r="D83" s="113"/>
      <c r="E83" s="328"/>
      <c r="F83" s="329"/>
      <c r="G83" s="330"/>
      <c r="H83" s="64"/>
      <c r="I83" s="64"/>
      <c r="J83" s="331"/>
      <c r="K83" s="332"/>
      <c r="L83" s="333"/>
      <c r="M83" s="65" t="str">
        <f t="shared" si="0"/>
        <v/>
      </c>
      <c r="N83" s="112" t="s">
        <v>52</v>
      </c>
      <c r="O83" s="105"/>
      <c r="P83" s="67">
        <v>20</v>
      </c>
      <c r="Q83" s="68">
        <f t="shared" si="1"/>
        <v>0.4</v>
      </c>
      <c r="R83" s="69" t="s">
        <v>39</v>
      </c>
      <c r="S83" s="70"/>
      <c r="T83" s="71"/>
      <c r="V83" s="73">
        <f t="shared" ref="V83:V101" si="2">IF(C83="",V82,C83)</f>
        <v>2</v>
      </c>
      <c r="W83" s="73">
        <f t="shared" ref="W83:W101" si="3">IF(M83="",W82,M83)</f>
        <v>2</v>
      </c>
    </row>
    <row r="84" spans="1:23" s="57" customFormat="1">
      <c r="A84" s="63">
        <v>3</v>
      </c>
      <c r="B84" s="105"/>
      <c r="C84" s="114"/>
      <c r="D84" s="113"/>
      <c r="E84" s="328"/>
      <c r="F84" s="329"/>
      <c r="G84" s="330"/>
      <c r="H84" s="64"/>
      <c r="I84" s="64"/>
      <c r="J84" s="331"/>
      <c r="K84" s="332"/>
      <c r="L84" s="333"/>
      <c r="M84" s="65" t="str">
        <f t="shared" si="0"/>
        <v/>
      </c>
      <c r="N84" s="74" t="s">
        <v>53</v>
      </c>
      <c r="O84" s="75"/>
      <c r="P84" s="67">
        <v>10</v>
      </c>
      <c r="Q84" s="68">
        <f t="shared" si="1"/>
        <v>0.2</v>
      </c>
      <c r="R84" s="69" t="s">
        <v>40</v>
      </c>
      <c r="S84" s="70"/>
      <c r="T84" s="71"/>
      <c r="V84" s="73">
        <f t="shared" si="2"/>
        <v>2</v>
      </c>
      <c r="W84" s="73">
        <f t="shared" si="3"/>
        <v>2</v>
      </c>
    </row>
    <row r="85" spans="1:23" s="57" customFormat="1">
      <c r="A85" s="63">
        <v>4</v>
      </c>
      <c r="B85" s="112" t="s">
        <v>54</v>
      </c>
      <c r="C85" s="114">
        <v>8</v>
      </c>
      <c r="D85" s="113" t="s">
        <v>22</v>
      </c>
      <c r="E85" s="328" t="s">
        <v>30</v>
      </c>
      <c r="F85" s="329"/>
      <c r="G85" s="330"/>
      <c r="H85" s="64"/>
      <c r="I85" s="64"/>
      <c r="J85" s="331">
        <v>0.5</v>
      </c>
      <c r="K85" s="332"/>
      <c r="L85" s="333"/>
      <c r="M85" s="65">
        <f t="shared" si="0"/>
        <v>4</v>
      </c>
      <c r="N85" s="112" t="s">
        <v>55</v>
      </c>
      <c r="O85" s="76"/>
      <c r="P85" s="67">
        <v>80</v>
      </c>
      <c r="Q85" s="68">
        <f t="shared" si="1"/>
        <v>3.2</v>
      </c>
      <c r="R85" s="69" t="s">
        <v>35</v>
      </c>
      <c r="S85" s="70"/>
      <c r="T85" s="71"/>
      <c r="V85" s="73">
        <f t="shared" si="2"/>
        <v>8</v>
      </c>
      <c r="W85" s="73">
        <f t="shared" si="3"/>
        <v>4</v>
      </c>
    </row>
    <row r="86" spans="1:23" s="57" customFormat="1">
      <c r="A86" s="63">
        <v>5</v>
      </c>
      <c r="B86" s="105"/>
      <c r="C86" s="114"/>
      <c r="D86" s="113"/>
      <c r="E86" s="328"/>
      <c r="F86" s="329"/>
      <c r="G86" s="330"/>
      <c r="H86" s="64"/>
      <c r="I86" s="64"/>
      <c r="J86" s="331"/>
      <c r="K86" s="332"/>
      <c r="L86" s="333"/>
      <c r="M86" s="65" t="str">
        <f t="shared" si="0"/>
        <v/>
      </c>
      <c r="N86" s="74" t="s">
        <v>56</v>
      </c>
      <c r="O86" s="105"/>
      <c r="P86" s="67">
        <v>20</v>
      </c>
      <c r="Q86" s="68">
        <f t="shared" si="1"/>
        <v>0.8</v>
      </c>
      <c r="R86" s="69" t="s">
        <v>38</v>
      </c>
      <c r="S86" s="70"/>
      <c r="T86" s="71"/>
      <c r="V86" s="73">
        <f t="shared" si="2"/>
        <v>8</v>
      </c>
      <c r="W86" s="73">
        <f t="shared" si="3"/>
        <v>4</v>
      </c>
    </row>
    <row r="87" spans="1:23" s="57" customFormat="1">
      <c r="A87" s="63">
        <v>6</v>
      </c>
      <c r="B87" s="105"/>
      <c r="C87" s="114"/>
      <c r="D87" s="105" t="s">
        <v>31</v>
      </c>
      <c r="E87" s="328" t="s">
        <v>32</v>
      </c>
      <c r="F87" s="329"/>
      <c r="G87" s="330"/>
      <c r="H87" s="64"/>
      <c r="I87" s="64"/>
      <c r="J87" s="331">
        <v>0.3</v>
      </c>
      <c r="K87" s="332"/>
      <c r="L87" s="333"/>
      <c r="M87" s="65">
        <f t="shared" si="0"/>
        <v>2.4</v>
      </c>
      <c r="N87" s="74" t="s">
        <v>34</v>
      </c>
      <c r="O87" s="105"/>
      <c r="P87" s="77">
        <v>100</v>
      </c>
      <c r="Q87" s="68">
        <f t="shared" si="1"/>
        <v>2.4</v>
      </c>
      <c r="R87" s="69" t="s">
        <v>43</v>
      </c>
      <c r="S87" s="70"/>
      <c r="T87" s="71"/>
      <c r="V87" s="73">
        <f t="shared" si="2"/>
        <v>8</v>
      </c>
      <c r="W87" s="73">
        <f t="shared" si="3"/>
        <v>2.4</v>
      </c>
    </row>
    <row r="88" spans="1:23" s="57" customFormat="1">
      <c r="A88" s="63">
        <v>7</v>
      </c>
      <c r="B88" s="105"/>
      <c r="C88" s="114"/>
      <c r="D88" s="113" t="s">
        <v>31</v>
      </c>
      <c r="E88" s="328" t="s">
        <v>33</v>
      </c>
      <c r="F88" s="329"/>
      <c r="G88" s="330"/>
      <c r="H88" s="64"/>
      <c r="I88" s="64"/>
      <c r="J88" s="331">
        <v>0.2</v>
      </c>
      <c r="K88" s="332"/>
      <c r="L88" s="333"/>
      <c r="M88" s="65">
        <f t="shared" si="0"/>
        <v>1.6</v>
      </c>
      <c r="N88" s="74" t="s">
        <v>6</v>
      </c>
      <c r="O88" s="105"/>
      <c r="P88" s="77">
        <v>100</v>
      </c>
      <c r="Q88" s="68">
        <f t="shared" si="1"/>
        <v>1.6</v>
      </c>
      <c r="R88" s="69" t="s">
        <v>44</v>
      </c>
      <c r="S88" s="70"/>
      <c r="T88" s="71"/>
      <c r="V88" s="73">
        <f t="shared" si="2"/>
        <v>8</v>
      </c>
      <c r="W88" s="73">
        <f t="shared" si="3"/>
        <v>1.6</v>
      </c>
    </row>
    <row r="89" spans="1:23" s="57" customFormat="1">
      <c r="A89" s="63">
        <v>8</v>
      </c>
      <c r="B89" s="105"/>
      <c r="C89" s="114"/>
      <c r="D89" s="113"/>
      <c r="E89" s="328"/>
      <c r="F89" s="329"/>
      <c r="G89" s="330"/>
      <c r="H89" s="64"/>
      <c r="I89" s="64"/>
      <c r="J89" s="331"/>
      <c r="K89" s="332"/>
      <c r="L89" s="333"/>
      <c r="M89" s="65" t="str">
        <f t="shared" si="0"/>
        <v/>
      </c>
      <c r="N89" s="74"/>
      <c r="O89" s="105"/>
      <c r="P89" s="77"/>
      <c r="Q89" s="68" t="str">
        <f t="shared" si="1"/>
        <v/>
      </c>
      <c r="R89" s="69"/>
      <c r="S89" s="70"/>
      <c r="T89" s="71"/>
      <c r="V89" s="73">
        <f t="shared" si="2"/>
        <v>8</v>
      </c>
      <c r="W89" s="73">
        <f t="shared" si="3"/>
        <v>1.6</v>
      </c>
    </row>
    <row r="90" spans="1:23" s="57" customFormat="1">
      <c r="A90" s="63">
        <v>9</v>
      </c>
      <c r="B90" s="105"/>
      <c r="C90" s="114"/>
      <c r="D90" s="113"/>
      <c r="E90" s="328"/>
      <c r="F90" s="329"/>
      <c r="G90" s="330"/>
      <c r="H90" s="64"/>
      <c r="I90" s="64"/>
      <c r="J90" s="331"/>
      <c r="K90" s="332"/>
      <c r="L90" s="333"/>
      <c r="M90" s="65" t="str">
        <f t="shared" si="0"/>
        <v/>
      </c>
      <c r="N90" s="74"/>
      <c r="O90" s="105"/>
      <c r="P90" s="77"/>
      <c r="Q90" s="68" t="str">
        <f t="shared" si="1"/>
        <v/>
      </c>
      <c r="R90" s="69"/>
      <c r="S90" s="78"/>
      <c r="T90" s="71"/>
      <c r="V90" s="73">
        <f t="shared" si="2"/>
        <v>8</v>
      </c>
      <c r="W90" s="73">
        <f t="shared" si="3"/>
        <v>1.6</v>
      </c>
    </row>
    <row r="91" spans="1:23" s="57" customFormat="1">
      <c r="A91" s="63">
        <v>10</v>
      </c>
      <c r="B91" s="105"/>
      <c r="C91" s="114"/>
      <c r="D91" s="113"/>
      <c r="E91" s="328"/>
      <c r="F91" s="329"/>
      <c r="G91" s="330"/>
      <c r="H91" s="64"/>
      <c r="I91" s="64"/>
      <c r="J91" s="331"/>
      <c r="K91" s="332"/>
      <c r="L91" s="333"/>
      <c r="M91" s="65" t="str">
        <f t="shared" si="0"/>
        <v/>
      </c>
      <c r="N91" s="74"/>
      <c r="O91" s="105"/>
      <c r="P91" s="77"/>
      <c r="Q91" s="68" t="str">
        <f t="shared" si="1"/>
        <v/>
      </c>
      <c r="R91" s="69"/>
      <c r="S91" s="78"/>
      <c r="T91" s="71"/>
      <c r="V91" s="73">
        <f t="shared" si="2"/>
        <v>8</v>
      </c>
      <c r="W91" s="73">
        <f t="shared" si="3"/>
        <v>1.6</v>
      </c>
    </row>
    <row r="92" spans="1:23" s="57" customFormat="1">
      <c r="A92" s="63">
        <v>11</v>
      </c>
      <c r="B92" s="105"/>
      <c r="C92" s="114"/>
      <c r="D92" s="113"/>
      <c r="E92" s="328"/>
      <c r="F92" s="329"/>
      <c r="G92" s="330"/>
      <c r="H92" s="64"/>
      <c r="I92" s="64"/>
      <c r="J92" s="331"/>
      <c r="K92" s="332"/>
      <c r="L92" s="333"/>
      <c r="M92" s="65" t="str">
        <f t="shared" si="0"/>
        <v/>
      </c>
      <c r="N92" s="74"/>
      <c r="O92" s="105"/>
      <c r="P92" s="77"/>
      <c r="Q92" s="68" t="str">
        <f t="shared" si="1"/>
        <v/>
      </c>
      <c r="R92" s="69"/>
      <c r="S92" s="78"/>
      <c r="T92" s="71"/>
      <c r="V92" s="73">
        <f t="shared" si="2"/>
        <v>8</v>
      </c>
      <c r="W92" s="73">
        <f t="shared" si="3"/>
        <v>1.6</v>
      </c>
    </row>
    <row r="93" spans="1:23" s="57" customFormat="1">
      <c r="A93" s="63">
        <v>12</v>
      </c>
      <c r="B93" s="105"/>
      <c r="C93" s="114"/>
      <c r="D93" s="113"/>
      <c r="E93" s="328"/>
      <c r="F93" s="329"/>
      <c r="G93" s="330"/>
      <c r="H93" s="64"/>
      <c r="I93" s="64"/>
      <c r="J93" s="331"/>
      <c r="K93" s="332"/>
      <c r="L93" s="333"/>
      <c r="M93" s="65" t="str">
        <f t="shared" si="0"/>
        <v/>
      </c>
      <c r="N93" s="74"/>
      <c r="O93" s="105"/>
      <c r="P93" s="67"/>
      <c r="Q93" s="68" t="str">
        <f t="shared" si="1"/>
        <v/>
      </c>
      <c r="R93" s="69"/>
      <c r="S93" s="70"/>
      <c r="T93" s="71"/>
      <c r="V93" s="73">
        <f t="shared" si="2"/>
        <v>8</v>
      </c>
      <c r="W93" s="73">
        <f t="shared" si="3"/>
        <v>1.6</v>
      </c>
    </row>
    <row r="94" spans="1:23" s="57" customFormat="1">
      <c r="A94" s="63">
        <v>13</v>
      </c>
      <c r="B94" s="105"/>
      <c r="C94" s="114"/>
      <c r="D94" s="113"/>
      <c r="E94" s="328"/>
      <c r="F94" s="329"/>
      <c r="G94" s="330"/>
      <c r="H94" s="64"/>
      <c r="I94" s="64"/>
      <c r="J94" s="331"/>
      <c r="K94" s="332"/>
      <c r="L94" s="333"/>
      <c r="M94" s="65" t="str">
        <f t="shared" si="0"/>
        <v/>
      </c>
      <c r="N94" s="74"/>
      <c r="O94" s="105"/>
      <c r="P94" s="67"/>
      <c r="Q94" s="68" t="str">
        <f t="shared" si="1"/>
        <v/>
      </c>
      <c r="R94" s="69"/>
      <c r="S94" s="70"/>
      <c r="T94" s="71"/>
      <c r="V94" s="73">
        <f t="shared" si="2"/>
        <v>8</v>
      </c>
      <c r="W94" s="73">
        <f t="shared" si="3"/>
        <v>1.6</v>
      </c>
    </row>
    <row r="95" spans="1:23" s="57" customFormat="1">
      <c r="A95" s="63">
        <v>14</v>
      </c>
      <c r="B95" s="105"/>
      <c r="C95" s="114"/>
      <c r="D95" s="113"/>
      <c r="E95" s="328"/>
      <c r="F95" s="329"/>
      <c r="G95" s="330"/>
      <c r="H95" s="64"/>
      <c r="I95" s="64"/>
      <c r="J95" s="331"/>
      <c r="K95" s="332"/>
      <c r="L95" s="333"/>
      <c r="M95" s="65" t="str">
        <f t="shared" si="0"/>
        <v/>
      </c>
      <c r="N95" s="74"/>
      <c r="O95" s="105"/>
      <c r="P95" s="67"/>
      <c r="Q95" s="68" t="str">
        <f t="shared" si="1"/>
        <v/>
      </c>
      <c r="R95" s="69"/>
      <c r="S95" s="70"/>
      <c r="T95" s="71"/>
      <c r="V95" s="73">
        <f t="shared" si="2"/>
        <v>8</v>
      </c>
      <c r="W95" s="73">
        <f t="shared" si="3"/>
        <v>1.6</v>
      </c>
    </row>
    <row r="96" spans="1:23" s="57" customFormat="1">
      <c r="A96" s="63">
        <v>15</v>
      </c>
      <c r="B96" s="105"/>
      <c r="C96" s="114"/>
      <c r="D96" s="113"/>
      <c r="E96" s="328"/>
      <c r="F96" s="329"/>
      <c r="G96" s="330"/>
      <c r="H96" s="64"/>
      <c r="I96" s="64"/>
      <c r="J96" s="331"/>
      <c r="K96" s="332"/>
      <c r="L96" s="333"/>
      <c r="M96" s="65" t="str">
        <f t="shared" si="0"/>
        <v/>
      </c>
      <c r="N96" s="74"/>
      <c r="O96" s="105"/>
      <c r="P96" s="67"/>
      <c r="Q96" s="68" t="str">
        <f t="shared" si="1"/>
        <v/>
      </c>
      <c r="R96" s="69"/>
      <c r="S96" s="70"/>
      <c r="T96" s="71"/>
      <c r="V96" s="73">
        <f t="shared" si="2"/>
        <v>8</v>
      </c>
      <c r="W96" s="73">
        <f t="shared" si="3"/>
        <v>1.6</v>
      </c>
    </row>
    <row r="97" spans="1:23" s="57" customFormat="1">
      <c r="A97" s="63">
        <v>16</v>
      </c>
      <c r="B97" s="105"/>
      <c r="C97" s="114"/>
      <c r="D97" s="113"/>
      <c r="E97" s="328"/>
      <c r="F97" s="329"/>
      <c r="G97" s="330"/>
      <c r="H97" s="64"/>
      <c r="I97" s="64"/>
      <c r="J97" s="331"/>
      <c r="K97" s="332"/>
      <c r="L97" s="333"/>
      <c r="M97" s="65" t="str">
        <f t="shared" si="0"/>
        <v/>
      </c>
      <c r="N97" s="74"/>
      <c r="O97" s="105"/>
      <c r="P97" s="67"/>
      <c r="Q97" s="68" t="str">
        <f t="shared" si="1"/>
        <v/>
      </c>
      <c r="R97" s="69"/>
      <c r="S97" s="70"/>
      <c r="T97" s="79"/>
      <c r="V97" s="73">
        <f t="shared" si="2"/>
        <v>8</v>
      </c>
      <c r="W97" s="73">
        <f t="shared" si="3"/>
        <v>1.6</v>
      </c>
    </row>
    <row r="98" spans="1:23" s="57" customFormat="1">
      <c r="A98" s="63">
        <v>17</v>
      </c>
      <c r="B98" s="105"/>
      <c r="C98" s="114"/>
      <c r="D98" s="113"/>
      <c r="E98" s="328"/>
      <c r="F98" s="329"/>
      <c r="G98" s="330"/>
      <c r="H98" s="64"/>
      <c r="I98" s="64"/>
      <c r="J98" s="331"/>
      <c r="K98" s="332"/>
      <c r="L98" s="333"/>
      <c r="M98" s="65" t="str">
        <f t="shared" si="0"/>
        <v/>
      </c>
      <c r="N98" s="74"/>
      <c r="O98" s="105"/>
      <c r="P98" s="67"/>
      <c r="Q98" s="68" t="str">
        <f t="shared" si="1"/>
        <v/>
      </c>
      <c r="R98" s="69"/>
      <c r="S98" s="70"/>
      <c r="T98" s="71"/>
      <c r="V98" s="73">
        <f t="shared" si="2"/>
        <v>8</v>
      </c>
      <c r="W98" s="73">
        <f t="shared" si="3"/>
        <v>1.6</v>
      </c>
    </row>
    <row r="99" spans="1:23" s="57" customFormat="1">
      <c r="A99" s="63">
        <v>18</v>
      </c>
      <c r="B99" s="105"/>
      <c r="C99" s="114"/>
      <c r="D99" s="113"/>
      <c r="E99" s="328"/>
      <c r="F99" s="329"/>
      <c r="G99" s="330"/>
      <c r="H99" s="64"/>
      <c r="I99" s="64"/>
      <c r="J99" s="331"/>
      <c r="K99" s="332"/>
      <c r="L99" s="333"/>
      <c r="M99" s="65" t="str">
        <f t="shared" si="0"/>
        <v/>
      </c>
      <c r="N99" s="74"/>
      <c r="O99" s="105"/>
      <c r="P99" s="67"/>
      <c r="Q99" s="68" t="str">
        <f t="shared" si="1"/>
        <v/>
      </c>
      <c r="R99" s="69"/>
      <c r="S99" s="70"/>
      <c r="T99" s="79"/>
      <c r="V99" s="73">
        <f t="shared" si="2"/>
        <v>8</v>
      </c>
      <c r="W99" s="73">
        <f t="shared" si="3"/>
        <v>1.6</v>
      </c>
    </row>
    <row r="100" spans="1:23" s="57" customFormat="1">
      <c r="A100" s="63">
        <v>19</v>
      </c>
      <c r="B100" s="105"/>
      <c r="C100" s="114"/>
      <c r="D100" s="113"/>
      <c r="E100" s="328"/>
      <c r="F100" s="329"/>
      <c r="G100" s="330"/>
      <c r="H100" s="64"/>
      <c r="I100" s="64"/>
      <c r="J100" s="331"/>
      <c r="K100" s="332"/>
      <c r="L100" s="333"/>
      <c r="M100" s="65" t="str">
        <f t="shared" si="0"/>
        <v/>
      </c>
      <c r="N100" s="74"/>
      <c r="O100" s="105"/>
      <c r="P100" s="67"/>
      <c r="Q100" s="68" t="str">
        <f t="shared" si="1"/>
        <v/>
      </c>
      <c r="R100" s="69"/>
      <c r="S100" s="70"/>
      <c r="T100" s="79"/>
      <c r="V100" s="73">
        <f t="shared" si="2"/>
        <v>8</v>
      </c>
      <c r="W100" s="73">
        <f t="shared" si="3"/>
        <v>1.6</v>
      </c>
    </row>
    <row r="101" spans="1:23" s="57" customFormat="1">
      <c r="A101" s="63">
        <v>20</v>
      </c>
      <c r="B101" s="105"/>
      <c r="C101" s="114"/>
      <c r="D101" s="113"/>
      <c r="E101" s="328"/>
      <c r="F101" s="329"/>
      <c r="G101" s="330"/>
      <c r="H101" s="64"/>
      <c r="I101" s="64"/>
      <c r="J101" s="331"/>
      <c r="K101" s="332"/>
      <c r="L101" s="333"/>
      <c r="M101" s="65" t="str">
        <f t="shared" si="0"/>
        <v/>
      </c>
      <c r="N101" s="80"/>
      <c r="O101" s="105"/>
      <c r="P101" s="67"/>
      <c r="Q101" s="68" t="str">
        <f t="shared" si="1"/>
        <v/>
      </c>
      <c r="R101" s="69"/>
      <c r="S101" s="70"/>
      <c r="T101" s="79"/>
      <c r="V101" s="73">
        <f t="shared" si="2"/>
        <v>8</v>
      </c>
      <c r="W101" s="73">
        <f t="shared" si="3"/>
        <v>1.6</v>
      </c>
    </row>
    <row r="102" spans="1:23" s="57" customFormat="1" ht="28.5" customHeight="1">
      <c r="B102" s="81"/>
      <c r="C102" s="81"/>
      <c r="D102" s="81"/>
      <c r="E102" s="82"/>
      <c r="F102" s="82"/>
      <c r="G102" s="82"/>
      <c r="H102" s="82"/>
      <c r="I102" s="82"/>
      <c r="J102" s="317" t="str">
        <f>IF(B5="English","Total region mas",IF(B5="中国語","総部位的
质量合计","総部位
質量合計"))</f>
        <v>総部位的
质量合计</v>
      </c>
      <c r="K102" s="318"/>
      <c r="L102" s="319"/>
      <c r="M102" s="320">
        <f>SUM(M82:M101)</f>
        <v>10</v>
      </c>
      <c r="N102" s="322"/>
      <c r="O102" s="323"/>
      <c r="P102" s="83" t="str">
        <f>IF(B5="English","Total mass",IF(B5="中国語","总质量","物質質量
合計"))</f>
        <v>总质量</v>
      </c>
      <c r="Q102" s="320">
        <f>SUM(Q82:Q101)</f>
        <v>10</v>
      </c>
      <c r="R102" s="322"/>
      <c r="S102" s="324"/>
      <c r="T102" s="324"/>
    </row>
    <row r="103" spans="1:23" ht="17.25" customHeight="1">
      <c r="B103" s="2"/>
      <c r="D103" s="84"/>
      <c r="E103" s="84"/>
      <c r="F103" s="84"/>
      <c r="G103" s="84"/>
      <c r="H103" s="85"/>
      <c r="I103" s="86"/>
      <c r="J103" s="325" t="str">
        <f>E24</f>
        <v>g</v>
      </c>
      <c r="K103" s="326"/>
      <c r="L103" s="327"/>
      <c r="M103" s="321"/>
      <c r="N103" s="87"/>
      <c r="O103" s="84"/>
      <c r="P103" s="88" t="str">
        <f>E24</f>
        <v>g</v>
      </c>
      <c r="Q103" s="321"/>
      <c r="R103" s="8"/>
      <c r="S103" s="89"/>
    </row>
    <row r="104" spans="1:23" ht="17.25" customHeight="1">
      <c r="I104" s="87"/>
      <c r="J104" s="87"/>
      <c r="K104" s="87"/>
      <c r="L104" s="87"/>
      <c r="M104" s="87"/>
      <c r="N104" s="90"/>
      <c r="O104" s="87"/>
      <c r="P104" s="28"/>
      <c r="Q104" s="28"/>
      <c r="R104" s="91"/>
      <c r="S104" s="315" t="s">
        <v>57</v>
      </c>
      <c r="T104" s="316"/>
    </row>
    <row r="105" spans="1:23" ht="20.100000000000001" customHeight="1">
      <c r="I105" s="87"/>
      <c r="J105" s="87"/>
      <c r="K105" s="87"/>
      <c r="L105" s="87"/>
      <c r="M105" s="87"/>
      <c r="N105" s="90"/>
      <c r="O105" s="87"/>
      <c r="P105" s="28"/>
      <c r="Q105" s="28"/>
      <c r="R105" s="89"/>
      <c r="S105" s="92"/>
    </row>
    <row r="106" spans="1:23" ht="16.2" customHeight="1">
      <c r="A106" s="93"/>
      <c r="B106" s="97"/>
      <c r="C106" s="102"/>
      <c r="D106" s="102"/>
      <c r="E106" s="25"/>
      <c r="F106" s="25"/>
      <c r="G106" s="25"/>
      <c r="H106" s="25"/>
      <c r="O106" s="1"/>
    </row>
    <row r="107" spans="1:23" ht="16.2" customHeight="1">
      <c r="A107" s="94"/>
      <c r="B107" s="2"/>
      <c r="D107" s="102"/>
      <c r="E107" s="95"/>
      <c r="F107" s="95"/>
      <c r="G107" s="95"/>
      <c r="H107" s="95"/>
      <c r="O107" s="1"/>
    </row>
    <row r="108" spans="1:23" ht="16.2" customHeight="1">
      <c r="A108" s="96"/>
      <c r="D108" s="116"/>
      <c r="E108" s="116"/>
      <c r="F108" s="116"/>
      <c r="G108" s="116"/>
      <c r="H108" s="116"/>
      <c r="I108" s="97"/>
      <c r="J108" s="97"/>
      <c r="K108" s="97"/>
      <c r="L108" s="97"/>
      <c r="M108" s="97"/>
      <c r="O108" s="1"/>
    </row>
    <row r="109" spans="1:23" ht="16.2" customHeight="1">
      <c r="A109" s="93"/>
      <c r="O109" s="1"/>
      <c r="S109" s="90"/>
    </row>
    <row r="110" spans="1:23" ht="16.2" customHeight="1">
      <c r="A110" s="93"/>
      <c r="B110" s="98"/>
      <c r="S110" s="99"/>
      <c r="T110" s="99"/>
    </row>
  </sheetData>
  <mergeCells count="97">
    <mergeCell ref="B5:J5"/>
    <mergeCell ref="B7:M7"/>
    <mergeCell ref="O8:Q8"/>
    <mergeCell ref="O9:Q9"/>
    <mergeCell ref="B10:H10"/>
    <mergeCell ref="O10:Q10"/>
    <mergeCell ref="B11:H11"/>
    <mergeCell ref="O11:Q11"/>
    <mergeCell ref="B14:C14"/>
    <mergeCell ref="D14:H14"/>
    <mergeCell ref="I14:M14"/>
    <mergeCell ref="N14:Q14"/>
    <mergeCell ref="B15:C15"/>
    <mergeCell ref="D15:H15"/>
    <mergeCell ref="I15:M15"/>
    <mergeCell ref="N15:Q15"/>
    <mergeCell ref="B16:C16"/>
    <mergeCell ref="D16:H16"/>
    <mergeCell ref="I16:M16"/>
    <mergeCell ref="N16:Q16"/>
    <mergeCell ref="B17:C17"/>
    <mergeCell ref="D17:H17"/>
    <mergeCell ref="I17:M17"/>
    <mergeCell ref="N17:Q17"/>
    <mergeCell ref="B20:C20"/>
    <mergeCell ref="D20:H20"/>
    <mergeCell ref="I20:M20"/>
    <mergeCell ref="N20:Q20"/>
    <mergeCell ref="B21:C21"/>
    <mergeCell ref="D21:H21"/>
    <mergeCell ref="I21:M21"/>
    <mergeCell ref="N21:Q21"/>
    <mergeCell ref="B22:C22"/>
    <mergeCell ref="D22:H22"/>
    <mergeCell ref="I22:M22"/>
    <mergeCell ref="N22:Q22"/>
    <mergeCell ref="B24:C24"/>
    <mergeCell ref="A80:A81"/>
    <mergeCell ref="B80:B81"/>
    <mergeCell ref="D80:D81"/>
    <mergeCell ref="E80:G81"/>
    <mergeCell ref="S80:S81"/>
    <mergeCell ref="T80:T81"/>
    <mergeCell ref="E82:G82"/>
    <mergeCell ref="J82:L82"/>
    <mergeCell ref="E83:G83"/>
    <mergeCell ref="J83:L83"/>
    <mergeCell ref="I80:I81"/>
    <mergeCell ref="J80:L80"/>
    <mergeCell ref="N80:N81"/>
    <mergeCell ref="O80:O81"/>
    <mergeCell ref="P80:P81"/>
    <mergeCell ref="R80:R81"/>
    <mergeCell ref="H80:H81"/>
    <mergeCell ref="E84:G84"/>
    <mergeCell ref="J84:L84"/>
    <mergeCell ref="E85:G85"/>
    <mergeCell ref="J85:L85"/>
    <mergeCell ref="E86:G86"/>
    <mergeCell ref="J86:L86"/>
    <mergeCell ref="E87:G87"/>
    <mergeCell ref="J87:L87"/>
    <mergeCell ref="E88:G88"/>
    <mergeCell ref="J88:L88"/>
    <mergeCell ref="E89:G89"/>
    <mergeCell ref="J89:L89"/>
    <mergeCell ref="E90:G90"/>
    <mergeCell ref="J90:L90"/>
    <mergeCell ref="E91:G91"/>
    <mergeCell ref="J91:L91"/>
    <mergeCell ref="E92:G92"/>
    <mergeCell ref="J92:L92"/>
    <mergeCell ref="E93:G93"/>
    <mergeCell ref="J93:L93"/>
    <mergeCell ref="E94:G94"/>
    <mergeCell ref="J94:L94"/>
    <mergeCell ref="E95:G95"/>
    <mergeCell ref="J95:L95"/>
    <mergeCell ref="E96:G96"/>
    <mergeCell ref="J96:L96"/>
    <mergeCell ref="E97:G97"/>
    <mergeCell ref="J97:L97"/>
    <mergeCell ref="E98:G98"/>
    <mergeCell ref="J98:L98"/>
    <mergeCell ref="E99:G99"/>
    <mergeCell ref="J99:L99"/>
    <mergeCell ref="E100:G100"/>
    <mergeCell ref="J100:L100"/>
    <mergeCell ref="E101:G101"/>
    <mergeCell ref="J101:L101"/>
    <mergeCell ref="S104:T104"/>
    <mergeCell ref="J102:L102"/>
    <mergeCell ref="M102:M103"/>
    <mergeCell ref="N102:O102"/>
    <mergeCell ref="Q102:Q103"/>
    <mergeCell ref="R102:T102"/>
    <mergeCell ref="J103:L103"/>
  </mergeCells>
  <phoneticPr fontId="2"/>
  <conditionalFormatting sqref="J70:L70 O70">
    <cfRule type="expression" dxfId="0" priority="1" stopIfTrue="1">
      <formula>$A$14&lt;&gt;""</formula>
    </cfRule>
  </conditionalFormatting>
  <dataValidations count="9">
    <dataValidation type="list" allowBlank="1" showInputMessage="1" sqref="R82:R101">
      <formula1>$B$27:$B$72</formula1>
    </dataValidation>
    <dataValidation type="list" allowBlank="1" showInputMessage="1" sqref="E82:G101">
      <formula1>INDIRECT(D82)</formula1>
    </dataValidation>
    <dataValidation type="list" allowBlank="1" showInputMessage="1" sqref="D82:D101">
      <formula1>$M$27:$X$27</formula1>
    </dataValidation>
    <dataValidation type="list" allowBlank="1" showInputMessage="1" showErrorMessage="1" promptTitle="=Weight/1pcs" prompt="(Weight of one product)_x000a__x000a_*** mg/pcs_x000a_*** mg/m_x000a_*** mg/m2_x000a_*** g/pcs_x000a_*** g/m_x000a_*** g/m2" sqref="G24">
      <formula1>"pcs,m,m2,"</formula1>
    </dataValidation>
    <dataValidation type="list" allowBlank="1" showInputMessage="1" showErrorMessage="1" promptTitle="=Weight/1pcs" prompt="(Weight of one prosuct)_x000a__x000a_*** mg/pcs_x000a_*** mg/m_x000a_*** mg/m2_x000a_*** g/pcs_x000a_*** g/m_x000a_*** g/m2" sqref="L81 J81">
      <formula1>"mg,g"</formula1>
    </dataValidation>
    <dataValidation type="list" allowBlank="1" showInputMessage="1" showErrorMessage="1" sqref="K5:L6 B5:J5">
      <formula1>$W$7:$W$9</formula1>
    </dataValidation>
    <dataValidation imeMode="off" allowBlank="1" showInputMessage="1" showErrorMessage="1" sqref="A82:A101 O82:Q101 S82:S101 I82:K101 N20:Q22 N14:Q15 M82:M101 D24 D20:H22 D14:H14"/>
    <dataValidation type="list" allowBlank="1" showInputMessage="1" showErrorMessage="1" sqref="M5:M6">
      <formula1>$W$5:$W$9</formula1>
    </dataValidation>
    <dataValidation type="list" allowBlank="1" showInputMessage="1" showErrorMessage="1" promptTitle="=Weight/1pcs" prompt="(Weight of one product)_x000a__x000a_*** mg/pcs_x000a_*** mg/m_x000a_*** mg/m2_x000a_*** g/pcs_x000a_*** g/m_x000a_*** g/m2" sqref="E24">
      <formula1>"mg,g"</formula1>
    </dataValidation>
  </dataValidations>
  <pageMargins left="0.27559055118110237" right="0.19685039370078741" top="0.19685039370078741" bottom="0.19685039370078741" header="0.31496062992125984" footer="0.19685039370078741"/>
  <pageSetup paperSize="9" scale="63" orientation="landscape" r:id="rId1"/>
  <headerFooter alignWithMargins="0">
    <oddFooter>&amp;CMiinebeaMitsumi Inc.</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x5099__x8003_ xmlns="d4001f7e-10e0-4b96-8c67-d495de16ca5d">本ファイルはイントラネット上で直接開くことはできません。本ファイルをダウンロードし、使用してください。</_x5099__x8003_>
    <_x65e5__x4ed8_ xmlns="d4001f7e-10e0-4b96-8c67-d495de16ca5d">2017/06/12</_x65e5__x4ed8_>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C9BB2B33756224D8AC0FDB516C39FFD" ma:contentTypeVersion="2" ma:contentTypeDescription="新しいドキュメントを作成します。" ma:contentTypeScope="" ma:versionID="8969a0334227212f5db8ad3deb02f472">
  <xsd:schema xmlns:xsd="http://www.w3.org/2001/XMLSchema" xmlns:xs="http://www.w3.org/2001/XMLSchema" xmlns:p="http://schemas.microsoft.com/office/2006/metadata/properties" xmlns:ns2="d4001f7e-10e0-4b96-8c67-d495de16ca5d" targetNamespace="http://schemas.microsoft.com/office/2006/metadata/properties" ma:root="true" ma:fieldsID="f99871d9657904c8c97973dbbfa8262e" ns2:_="">
    <xsd:import namespace="d4001f7e-10e0-4b96-8c67-d495de16ca5d"/>
    <xsd:element name="properties">
      <xsd:complexType>
        <xsd:sequence>
          <xsd:element name="documentManagement">
            <xsd:complexType>
              <xsd:all>
                <xsd:element ref="ns2:_x65e5__x4ed8_" minOccurs="0"/>
                <xsd:element ref="ns2:_x5099__x800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01f7e-10e0-4b96-8c67-d495de16ca5d" elementFormDefault="qualified">
    <xsd:import namespace="http://schemas.microsoft.com/office/2006/documentManagement/types"/>
    <xsd:import namespace="http://schemas.microsoft.com/office/infopath/2007/PartnerControls"/>
    <xsd:element name="_x65e5__x4ed8_" ma:index="8" nillable="true" ma:displayName="掲載日 Date" ma:internalName="_x65e5__x4ed8_">
      <xsd:simpleType>
        <xsd:restriction base="dms:Text">
          <xsd:maxLength value="255"/>
        </xsd:restriction>
      </xsd:simpleType>
    </xsd:element>
    <xsd:element name="_x5099__x8003_" ma:index="9" nillable="true" ma:displayName="備考 Note" ma:internalName="_x5099__x8003_">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C7AEB31-410C-4852-B97C-A1AA3E4A95AE}">
  <ds:schemaRefs>
    <ds:schemaRef ds:uri="http://schemas.microsoft.com/sharepoint/v3/contenttype/forms"/>
  </ds:schemaRefs>
</ds:datastoreItem>
</file>

<file path=customXml/itemProps2.xml><?xml version="1.0" encoding="utf-8"?>
<ds:datastoreItem xmlns:ds="http://schemas.openxmlformats.org/officeDocument/2006/customXml" ds:itemID="{5CE6A90D-3140-49AD-A61B-F223D18FE53D}">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d4001f7e-10e0-4b96-8c67-d495de16ca5d"/>
    <ds:schemaRef ds:uri="http://www.w3.org/XML/1998/namespace"/>
    <ds:schemaRef ds:uri="http://purl.org/dc/elements/1.1/"/>
  </ds:schemaRefs>
</ds:datastoreItem>
</file>

<file path=customXml/itemProps3.xml><?xml version="1.0" encoding="utf-8"?>
<ds:datastoreItem xmlns:ds="http://schemas.openxmlformats.org/officeDocument/2006/customXml" ds:itemID="{571F8935-6D63-4FD5-B962-447AF1EA4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01f7e-10e0-4b96-8c67-d495de16ca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CD32D75-E1F1-44CA-B370-4437AADD0CB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212</vt:i4>
      </vt:variant>
    </vt:vector>
  </HeadingPairs>
  <TitlesOfParts>
    <vt:vector size="218" baseType="lpstr">
      <vt:lpstr>Survey Report for 20 Regions</vt:lpstr>
      <vt:lpstr>Survey Report for 60 Regions</vt:lpstr>
      <vt:lpstr>Example_Japanese</vt:lpstr>
      <vt:lpstr>Example_English</vt:lpstr>
      <vt:lpstr>Example_Chinese</vt:lpstr>
      <vt:lpstr>Sheet1</vt:lpstr>
      <vt:lpstr>Example_Chinese!_5_はんだ接合</vt:lpstr>
      <vt:lpstr>Example_English!_5_はんだ接合</vt:lpstr>
      <vt:lpstr>Example_Japanese!_5_はんだ接合</vt:lpstr>
      <vt:lpstr>'Survey Report for 20 Regions'!_5_はんだ接合</vt:lpstr>
      <vt:lpstr>'Survey Report for 60 Regions'!_5_はんだ接合</vt:lpstr>
      <vt:lpstr>Example_Chinese!attached_agent</vt:lpstr>
      <vt:lpstr>Example_English!attached_agent</vt:lpstr>
      <vt:lpstr>Example_Japanese!attached_agent</vt:lpstr>
      <vt:lpstr>'Survey Report for 60 Regions'!attached_agent</vt:lpstr>
      <vt:lpstr>attached_agent</vt:lpstr>
      <vt:lpstr>Example_Chinese!base</vt:lpstr>
      <vt:lpstr>Example_English!base</vt:lpstr>
      <vt:lpstr>Example_Japanese!base</vt:lpstr>
      <vt:lpstr>'Survey Report for 20 Regions'!base</vt:lpstr>
      <vt:lpstr>'Survey Report for 60 Regions'!base</vt:lpstr>
      <vt:lpstr>Example_Chinese!base_material</vt:lpstr>
      <vt:lpstr>Example_English!base_material</vt:lpstr>
      <vt:lpstr>Example_Japanese!base_material</vt:lpstr>
      <vt:lpstr>'Survey Report for 20 Regions'!base_material</vt:lpstr>
      <vt:lpstr>'Survey Report for 60 Regions'!base_material</vt:lpstr>
      <vt:lpstr>Example_Chinese!base_materials</vt:lpstr>
      <vt:lpstr>Example_English!base_materials</vt:lpstr>
      <vt:lpstr>Example_Japanese!base_materials</vt:lpstr>
      <vt:lpstr>'Survey Report for 20 Regions'!base_materials</vt:lpstr>
      <vt:lpstr>'Survey Report for 60 Regions'!base_materials</vt:lpstr>
      <vt:lpstr>Example_Chinese!basematerial</vt:lpstr>
      <vt:lpstr>Example_English!basematerial</vt:lpstr>
      <vt:lpstr>Example_Japanese!basematerial</vt:lpstr>
      <vt:lpstr>'Survey Report for 20 Regions'!basematerial</vt:lpstr>
      <vt:lpstr>'Survey Report for 60 Regions'!basematerial</vt:lpstr>
      <vt:lpstr>Example_Chinese!chemical_conversion_treatment</vt:lpstr>
      <vt:lpstr>Example_English!chemical_conversion_treatment</vt:lpstr>
      <vt:lpstr>Example_Japanese!chemical_conversion_treatment</vt:lpstr>
      <vt:lpstr>'Survey Report for 60 Regions'!chemical_conversion_treatment</vt:lpstr>
      <vt:lpstr>chemical_conversion_treatment</vt:lpstr>
      <vt:lpstr>Example_Chinese!clad</vt:lpstr>
      <vt:lpstr>Example_English!clad</vt:lpstr>
      <vt:lpstr>Example_Japanese!clad</vt:lpstr>
      <vt:lpstr>'Survey Report for 20 Regions'!clad</vt:lpstr>
      <vt:lpstr>'Survey Report for 60 Regions'!clad</vt:lpstr>
      <vt:lpstr>Example_Chinese!CVD_Chemical_Vapor_Deposition</vt:lpstr>
      <vt:lpstr>Example_English!CVD_Chemical_Vapor_Deposition</vt:lpstr>
      <vt:lpstr>Example_Japanese!CVD_Chemical_Vapor_Deposition</vt:lpstr>
      <vt:lpstr>'Survey Report for 60 Regions'!CVD_Chemical_Vapor_Deposition</vt:lpstr>
      <vt:lpstr>CVD_Chemical_Vapor_Deposition</vt:lpstr>
      <vt:lpstr>Example_Chinese!flame_spray_coating</vt:lpstr>
      <vt:lpstr>Example_English!flame_spray_coating</vt:lpstr>
      <vt:lpstr>Example_Japanese!flame_spray_coating</vt:lpstr>
      <vt:lpstr>'Survey Report for 60 Regions'!flame_spray_coating</vt:lpstr>
      <vt:lpstr>flame_spray_coating</vt:lpstr>
      <vt:lpstr>Example_Chinese!inner_preparations</vt:lpstr>
      <vt:lpstr>Example_English!inner_preparations</vt:lpstr>
      <vt:lpstr>Example_Japanese!inner_preparations</vt:lpstr>
      <vt:lpstr>'Survey Report for 60 Regions'!inner_preparations</vt:lpstr>
      <vt:lpstr>inner_preparations</vt:lpstr>
      <vt:lpstr>Example_Chinese!marking</vt:lpstr>
      <vt:lpstr>Example_English!marking</vt:lpstr>
      <vt:lpstr>Example_Japanese!marking</vt:lpstr>
      <vt:lpstr>'Survey Report for 60 Regions'!marking</vt:lpstr>
      <vt:lpstr>marking</vt:lpstr>
      <vt:lpstr>Example_Chinese!painting</vt:lpstr>
      <vt:lpstr>Example_English!painting</vt:lpstr>
      <vt:lpstr>Example_Japanese!painting</vt:lpstr>
      <vt:lpstr>'Survey Report for 20 Regions'!painting</vt:lpstr>
      <vt:lpstr>'Survey Report for 60 Regions'!painting</vt:lpstr>
      <vt:lpstr>Example_Chinese!plating</vt:lpstr>
      <vt:lpstr>Example_English!plating</vt:lpstr>
      <vt:lpstr>Example_Japanese!plating</vt:lpstr>
      <vt:lpstr>'Survey Report for 60 Regions'!plating</vt:lpstr>
      <vt:lpstr>plating</vt:lpstr>
      <vt:lpstr>'Survey Report for 20 Regions'!Print_Area</vt:lpstr>
      <vt:lpstr>'Survey Report for 60 Regions'!Print_Area</vt:lpstr>
      <vt:lpstr>Example_Chinese!PVD_Physical_Vapor_Deposition</vt:lpstr>
      <vt:lpstr>Example_English!PVD_Physical_Vapor_Deposition</vt:lpstr>
      <vt:lpstr>Example_Japanese!PVD_Physical_Vapor_Deposition</vt:lpstr>
      <vt:lpstr>'Survey Report for 60 Regions'!PVD_Physical_Vapor_Deposition</vt:lpstr>
      <vt:lpstr>PVD_Physical_Vapor_Deposition</vt:lpstr>
      <vt:lpstr>Example_Chinese!Region</vt:lpstr>
      <vt:lpstr>Example_English!Region</vt:lpstr>
      <vt:lpstr>Example_Japanese!Region</vt:lpstr>
      <vt:lpstr>'Survey Report for 20 Regions'!Region</vt:lpstr>
      <vt:lpstr>'Survey Report for 60 Regions'!Region</vt:lpstr>
      <vt:lpstr>Example_Chinese!solder_joint</vt:lpstr>
      <vt:lpstr>Example_English!solder_joint</vt:lpstr>
      <vt:lpstr>Example_Japanese!solder_joint</vt:lpstr>
      <vt:lpstr>'Survey Report for 20 Regions'!solder_joint</vt:lpstr>
      <vt:lpstr>'Survey Report for 60 Regions'!solder_joint</vt:lpstr>
      <vt:lpstr>Example_Chinese!はんだ接合</vt:lpstr>
      <vt:lpstr>Example_English!はんだ接合</vt:lpstr>
      <vt:lpstr>Example_Japanese!はんだ接合</vt:lpstr>
      <vt:lpstr>'Survey Report for 20 Regions'!はんだ接合</vt:lpstr>
      <vt:lpstr>'Survey Report for 60 Regions'!はんだ接合</vt:lpstr>
      <vt:lpstr>Example_Chinese!内包剤_運転用調剤などに適用</vt:lpstr>
      <vt:lpstr>Example_English!内包剤_運転用調剤などに適用</vt:lpstr>
      <vt:lpstr>Example_Japanese!内包剤_運転用調剤などに適用</vt:lpstr>
      <vt:lpstr>'Survey Report for 60 Regions'!内包剤_運転用調剤などに適用</vt:lpstr>
      <vt:lpstr>内包剤_運転用調剤などに適用</vt:lpstr>
      <vt:lpstr>Example_Chinese!被覆</vt:lpstr>
      <vt:lpstr>Example_English!被覆</vt:lpstr>
      <vt:lpstr>Example_Japanese!被覆</vt:lpstr>
      <vt:lpstr>'Survey Report for 20 Regions'!被覆</vt:lpstr>
      <vt:lpstr>'Survey Report for 60 Regions'!被覆</vt:lpstr>
      <vt:lpstr>Example_Chinese!表面処理系_CVD処理</vt:lpstr>
      <vt:lpstr>Example_English!表面処理系_CVD処理</vt:lpstr>
      <vt:lpstr>Example_Japanese!表面処理系_CVD処理</vt:lpstr>
      <vt:lpstr>'Survey Report for 60 Regions'!表面処理系_CVD処理</vt:lpstr>
      <vt:lpstr>表面処理系_CVD処理</vt:lpstr>
      <vt:lpstr>Example_Chinese!表面処理系_PVC処理</vt:lpstr>
      <vt:lpstr>Example_English!表面処理系_PVC処理</vt:lpstr>
      <vt:lpstr>Example_Japanese!表面処理系_PVC処理</vt:lpstr>
      <vt:lpstr>'Survey Report for 60 Regions'!表面処理系_PVC処理</vt:lpstr>
      <vt:lpstr>表面処理系_PVC処理</vt:lpstr>
      <vt:lpstr>Example_Chinese!表面処理系_ＰＶＤ処理</vt:lpstr>
      <vt:lpstr>Example_English!表面処理系_ＰＶＤ処理</vt:lpstr>
      <vt:lpstr>Example_Japanese!表面処理系_ＰＶＤ処理</vt:lpstr>
      <vt:lpstr>'Survey Report for 60 Regions'!表面処理系_ＰＶＤ処理</vt:lpstr>
      <vt:lpstr>表面処理系_ＰＶＤ処理</vt:lpstr>
      <vt:lpstr>Example_Chinese!表面処理系_マーキング</vt:lpstr>
      <vt:lpstr>Example_English!表面処理系_マーキング</vt:lpstr>
      <vt:lpstr>Example_Japanese!表面処理系_マーキング</vt:lpstr>
      <vt:lpstr>'Survey Report for 60 Regions'!表面処理系_マーキング</vt:lpstr>
      <vt:lpstr>表面処理系_マーキング</vt:lpstr>
      <vt:lpstr>Example_Chinese!表面処理系_めっき</vt:lpstr>
      <vt:lpstr>Example_English!表面処理系_めっき</vt:lpstr>
      <vt:lpstr>Example_Japanese!表面処理系_めっき</vt:lpstr>
      <vt:lpstr>'Survey Report for 60 Regions'!表面処理系_めっき</vt:lpstr>
      <vt:lpstr>表面処理系_めっき</vt:lpstr>
      <vt:lpstr>Example_Chinese!表面処理系_化成処理</vt:lpstr>
      <vt:lpstr>Example_English!表面処理系_化成処理</vt:lpstr>
      <vt:lpstr>Example_Japanese!表面処理系_化成処理</vt:lpstr>
      <vt:lpstr>'Survey Report for 60 Regions'!表面処理系_化成処理</vt:lpstr>
      <vt:lpstr>表面処理系_化成処理</vt:lpstr>
      <vt:lpstr>Example_Chinese!表面処理系_塗装</vt:lpstr>
      <vt:lpstr>Example_English!表面処理系_塗装</vt:lpstr>
      <vt:lpstr>Example_Japanese!表面処理系_塗装</vt:lpstr>
      <vt:lpstr>'Survey Report for 20 Regions'!表面処理系_塗装</vt:lpstr>
      <vt:lpstr>'Survey Report for 60 Regions'!表面処理系_塗装</vt:lpstr>
      <vt:lpstr>Example_Chinese!表面処理系_溶射</vt:lpstr>
      <vt:lpstr>Example_English!表面処理系_溶射</vt:lpstr>
      <vt:lpstr>Example_Japanese!表面処理系_溶射</vt:lpstr>
      <vt:lpstr>'Survey Report for 60 Regions'!表面処理系_溶射</vt:lpstr>
      <vt:lpstr>表面処理系_溶射</vt:lpstr>
      <vt:lpstr>Example_Chinese!表面处理_CVD处理_化学的蒸镀</vt:lpstr>
      <vt:lpstr>Example_English!表面处理_CVD处理_化学的蒸镀</vt:lpstr>
      <vt:lpstr>Example_Japanese!表面处理_CVD处理_化学的蒸镀</vt:lpstr>
      <vt:lpstr>'Survey Report for 60 Regions'!表面处理_CVD处理_化学的蒸镀</vt:lpstr>
      <vt:lpstr>表面处理_CVD处理_化学的蒸镀</vt:lpstr>
      <vt:lpstr>Example_Chinese!表面处理_化学合成处理</vt:lpstr>
      <vt:lpstr>Example_English!表面处理_化学合成处理</vt:lpstr>
      <vt:lpstr>Example_Japanese!表面处理_化学合成处理</vt:lpstr>
      <vt:lpstr>'Survey Report for 60 Regions'!表面处理_化学合成处理</vt:lpstr>
      <vt:lpstr>表面处理_化学合成处理</vt:lpstr>
      <vt:lpstr>Example_Chinese!表面处理_喷镀</vt:lpstr>
      <vt:lpstr>Example_English!表面处理_喷镀</vt:lpstr>
      <vt:lpstr>Example_Japanese!表面处理_喷镀</vt:lpstr>
      <vt:lpstr>'Survey Report for 60 Regions'!表面处理_喷镀</vt:lpstr>
      <vt:lpstr>表面处理_喷镀</vt:lpstr>
      <vt:lpstr>Example_Chinese!表面处理_标印</vt:lpstr>
      <vt:lpstr>Example_English!表面处理_标印</vt:lpstr>
      <vt:lpstr>Example_Japanese!表面处理_标印</vt:lpstr>
      <vt:lpstr>'Survey Report for 60 Regions'!表面处理_标印</vt:lpstr>
      <vt:lpstr>表面处理_标印</vt:lpstr>
      <vt:lpstr>Example_Chinese!表面处理_涂装</vt:lpstr>
      <vt:lpstr>Example_English!表面处理_涂装</vt:lpstr>
      <vt:lpstr>Example_Japanese!表面处理_涂装</vt:lpstr>
      <vt:lpstr>'Survey Report for 20 Regions'!表面处理_涂装</vt:lpstr>
      <vt:lpstr>'Survey Report for 60 Regions'!表面处理_涂装</vt:lpstr>
      <vt:lpstr>Example_Chinese!表面处理_电镀</vt:lpstr>
      <vt:lpstr>Example_English!表面处理_电镀</vt:lpstr>
      <vt:lpstr>Example_Japanese!表面处理_电镀</vt:lpstr>
      <vt:lpstr>'Survey Report for 60 Regions'!表面处理_电镀</vt:lpstr>
      <vt:lpstr>表面处理_电镀</vt:lpstr>
      <vt:lpstr>Example_Chinese!表面处理\PVD处理_物的蒸镀</vt:lpstr>
      <vt:lpstr>Example_English!表面处理\PVD处理_物的蒸镀</vt:lpstr>
      <vt:lpstr>Example_Japanese!表面处理\PVD处理_物的蒸镀</vt:lpstr>
      <vt:lpstr>'Survey Report for 60 Regions'!表面处理\PVD处理_物的蒸镀</vt:lpstr>
      <vt:lpstr>表面处理\PVD处理_物的蒸镀</vt:lpstr>
      <vt:lpstr>Example_Chinese!付着剤</vt:lpstr>
      <vt:lpstr>Example_English!付着剤</vt:lpstr>
      <vt:lpstr>Example_Japanese!付着剤</vt:lpstr>
      <vt:lpstr>'Survey Report for 60 Regions'!付着剤</vt:lpstr>
      <vt:lpstr>付着剤</vt:lpstr>
      <vt:lpstr>Example_Chinese!附着剤</vt:lpstr>
      <vt:lpstr>Example_English!附着剤</vt:lpstr>
      <vt:lpstr>Example_Japanese!附着剤</vt:lpstr>
      <vt:lpstr>'Survey Report for 60 Regions'!附着剤</vt:lpstr>
      <vt:lpstr>附着剤</vt:lpstr>
      <vt:lpstr>Example_Chinese!部位名</vt:lpstr>
      <vt:lpstr>Example_English!部位名</vt:lpstr>
      <vt:lpstr>Example_Japanese!部位名</vt:lpstr>
      <vt:lpstr>'Survey Report for 20 Regions'!部位名</vt:lpstr>
      <vt:lpstr>'Survey Report for 60 Regions'!部位名</vt:lpstr>
      <vt:lpstr>Example_Chinese!母材</vt:lpstr>
      <vt:lpstr>Example_English!母材</vt:lpstr>
      <vt:lpstr>Example_Japanese!母材</vt:lpstr>
      <vt:lpstr>'Survey Report for 20 Regions'!母材</vt:lpstr>
      <vt:lpstr>'Survey Report for 60 Regions'!母材</vt:lpstr>
      <vt:lpstr>Example_Chinese!包含剂_适用于运转用配制品</vt:lpstr>
      <vt:lpstr>Example_English!包含剂_适用于运转用配制品</vt:lpstr>
      <vt:lpstr>Example_Japanese!包含剂_适用于运转用配制品</vt:lpstr>
      <vt:lpstr>'Survey Report for 60 Regions'!包含剂_适用于运转用配制品</vt:lpstr>
      <vt:lpstr>包含剂_适用于运转用配制品</vt:lpstr>
      <vt:lpstr>Example_Chinese!包覆</vt:lpstr>
      <vt:lpstr>Example_English!包覆</vt:lpstr>
      <vt:lpstr>Example_Japanese!包覆</vt:lpstr>
      <vt:lpstr>'Survey Report for 20 Regions'!包覆</vt:lpstr>
      <vt:lpstr>'Survey Report for 60 Regions'!包覆</vt:lpstr>
      <vt:lpstr>Example_Chinese!焊点</vt:lpstr>
      <vt:lpstr>Example_English!焊点</vt:lpstr>
      <vt:lpstr>Example_Japanese!焊点</vt:lpstr>
      <vt:lpstr>'Survey Report for 20 Regions'!焊点</vt:lpstr>
      <vt:lpstr>'Survey Report for 60 Regions'!焊点</vt:lpstr>
    </vt:vector>
  </TitlesOfParts>
  <Company>ミツミ電機（株）環境本部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一郎</dc:creator>
  <cp:lastModifiedBy>Watanabe</cp:lastModifiedBy>
  <cp:lastPrinted>2020-04-17T02:08:03Z</cp:lastPrinted>
  <dcterms:created xsi:type="dcterms:W3CDTF">2001-11-07T01:27:59Z</dcterms:created>
  <dcterms:modified xsi:type="dcterms:W3CDTF">2024-04-19T06:16:02Z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0x010100EC9BB2B33756224D8AC0FDB516C39FFD</vt:lpwstr>
  </property>
</Properties>
</file>